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115" windowHeight="7245"/>
  </bookViews>
  <sheets>
    <sheet name="Преображенская СОШ 2021" sheetId="1" r:id="rId1"/>
  </sheets>
  <calcPr calcId="145621"/>
</workbook>
</file>

<file path=xl/calcChain.xml><?xml version="1.0" encoding="utf-8"?>
<calcChain xmlns="http://schemas.openxmlformats.org/spreadsheetml/2006/main">
  <c r="F161" i="1" l="1"/>
  <c r="F160" i="1"/>
  <c r="F159" i="1"/>
  <c r="F126" i="1"/>
  <c r="F125" i="1"/>
  <c r="F124" i="1"/>
  <c r="F90" i="1"/>
  <c r="F89" i="1"/>
  <c r="F88" i="1"/>
  <c r="F54" i="1"/>
  <c r="F53" i="1"/>
  <c r="F52" i="1"/>
  <c r="F18" i="1"/>
  <c r="F17" i="1"/>
  <c r="F16" i="1"/>
  <c r="F177" i="1"/>
  <c r="F142" i="1"/>
  <c r="F106" i="1"/>
  <c r="F70" i="1"/>
  <c r="F34" i="1"/>
  <c r="F84" i="1"/>
  <c r="F48" i="1"/>
  <c r="F12" i="1"/>
  <c r="F151" i="1" l="1"/>
  <c r="F149" i="1"/>
  <c r="F129" i="1"/>
  <c r="F128" i="1"/>
  <c r="F116" i="1"/>
  <c r="F115" i="1"/>
  <c r="F114" i="1"/>
  <c r="F112" i="1"/>
  <c r="F111" i="1"/>
  <c r="F110" i="1"/>
  <c r="F109" i="1"/>
  <c r="F103" i="1"/>
  <c r="F99" i="1"/>
  <c r="F98" i="1"/>
  <c r="F97" i="1"/>
  <c r="F96" i="1"/>
  <c r="F95" i="1"/>
  <c r="F94" i="1"/>
  <c r="F93" i="1"/>
  <c r="F92" i="1"/>
  <c r="F80" i="1"/>
  <c r="F79" i="1"/>
  <c r="F78" i="1"/>
  <c r="F77" i="1"/>
  <c r="F76" i="1"/>
  <c r="F75" i="1"/>
  <c r="F74" i="1"/>
  <c r="F73" i="1"/>
  <c r="F67" i="1"/>
  <c r="F63" i="1"/>
  <c r="F62" i="1"/>
  <c r="F61" i="1"/>
  <c r="F60" i="1"/>
  <c r="F59" i="1"/>
  <c r="F58" i="1"/>
  <c r="F57" i="1"/>
  <c r="F56" i="1"/>
  <c r="F44" i="1"/>
  <c r="F43" i="1"/>
  <c r="F42" i="1"/>
  <c r="F40" i="1"/>
  <c r="F39" i="1"/>
  <c r="F38" i="1"/>
  <c r="F37" i="1"/>
  <c r="F31" i="1"/>
  <c r="F27" i="1"/>
  <c r="F26" i="1"/>
  <c r="F25" i="1"/>
  <c r="F24" i="1"/>
  <c r="F23" i="1"/>
  <c r="F22" i="1"/>
  <c r="F21" i="1"/>
  <c r="F20" i="1"/>
  <c r="F189" i="1" l="1"/>
  <c r="F186" i="1"/>
  <c r="F184" i="1"/>
  <c r="F164" i="1"/>
  <c r="F163" i="1"/>
  <c r="F113" i="1"/>
  <c r="F49" i="1"/>
  <c r="F41" i="1"/>
  <c r="F191" i="1" l="1"/>
  <c r="F178" i="1"/>
  <c r="F143" i="1"/>
  <c r="F107" i="1"/>
  <c r="F101" i="1"/>
  <c r="F85" i="1"/>
  <c r="F71" i="1"/>
  <c r="F65" i="1"/>
  <c r="F35" i="1"/>
  <c r="F29" i="1"/>
  <c r="F13" i="1"/>
</calcChain>
</file>

<file path=xl/sharedStrings.xml><?xml version="1.0" encoding="utf-8"?>
<sst xmlns="http://schemas.openxmlformats.org/spreadsheetml/2006/main" count="548" uniqueCount="79">
  <si>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</si>
  <si>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</si>
  <si>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Преображенская   СОШ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</si>
  <si>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</si>
  <si>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</si>
  <si>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</si>
  <si>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</si>
  <si>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</si>
  <si>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</si>
  <si>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общеобразовательных программ начального общего образования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</si>
  <si>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</si>
  <si>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</si>
  <si>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</si>
  <si>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</si>
  <si>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</si>
  <si>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</si>
  <si>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</si>
  <si>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</si>
  <si>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</si>
  <si>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</si>
  <si>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</si>
  <si>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</si>
  <si>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</si>
  <si>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</si>
  <si>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</si>
  <si>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</si>
  <si>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</si>
  <si>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</si>
  <si>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</si>
  <si>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</si>
  <si>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</si>
  <si>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технический контроль и технический минимум водителей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</si>
  <si>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</si>
  <si>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</si>
  <si>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</si>
  <si>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</si>
  <si>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>установка автоматизированной системы контроля доступа в здание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</si>
  <si>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</si>
  <si>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</si>
  <si>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</si>
  <si>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</si>
  <si>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</si>
  <si>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</si>
  <si>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</si>
  <si>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</si>
  <si>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</si>
  <si>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</si>
  <si>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</si>
  <si>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оборудования</t>
  </si>
  <si>
    <t>заработная плата по договорам</t>
  </si>
  <si>
    <t>Бумага писчая</t>
  </si>
  <si>
    <t>пачки</t>
  </si>
  <si>
    <t>гланасс,страховка автобуса и гсм</t>
  </si>
  <si>
    <t>Расходы за проживание по командировкам и курсы повышения квалификации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</si>
  <si>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</si>
  <si>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</si>
  <si>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</si>
  <si>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</si>
  <si>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</si>
  <si>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-</t>
  </si>
  <si>
    <t>Текущий ремонт помещения</t>
  </si>
  <si>
    <t>м2</t>
  </si>
  <si>
    <t xml:space="preserve">монтаж пуско-наладка и тестирование радиосистемы передачи извещений </t>
  </si>
  <si>
    <t>приобретение классных журналов с 10-11классы</t>
  </si>
  <si>
    <t>медикаменты, первязочные средства, витамины, мелкий медицинский инструментарий</t>
  </si>
  <si>
    <t>Продукты питания</t>
  </si>
  <si>
    <t>560200О.99.0.ББ03АА00000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</si>
  <si>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</si>
  <si>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</si>
  <si>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</si>
  <si>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</si>
  <si>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</si>
  <si>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</si>
  <si>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</si>
  <si>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</si>
  <si>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</si>
  <si>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>Присмотр и уход</t>
  </si>
  <si>
    <t xml:space="preserve">Предоставление питания </t>
  </si>
  <si>
    <r>
      <t xml:space="preserve">к приказу от </t>
    </r>
    <r>
      <rPr>
        <u/>
        <sz val="12"/>
        <color theme="1"/>
        <rFont val="Times New Roman"/>
        <family val="1"/>
        <charset val="204"/>
      </rPr>
      <t>23.12.2022 №41/10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</si>
</sst>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2" fillId="0" borderId="0"/>
  </cellStyleXfs>
  <cellXfs count="64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Border="1"/>
    <xf numFmtId="0" fontId="4" fillId="0" borderId="4" xfId="0" applyFont="1" applyFill="1" applyBorder="1" applyAlignment="1">
      <alignment horizontal="left" vertical="center" wrapText="1"/>
    </xf>
    <xf numFmtId="4" fontId="3" fillId="0" borderId="0" xfId="0" applyNumberFormat="1" applyFont="1" applyAlignment="1">
      <alignment horizont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2" fontId="0" fillId="0" borderId="0" xfId="0" applyNumberFormat="1"/>
    <xf numFmtId="4" fontId="12" fillId="0" borderId="0" xfId="4" applyNumberFormat="1" applyFont="1" applyBorder="1" applyAlignment="1">
      <alignment horizontal="right" vertical="top"/>
    </xf>
    <xf numFmtId="4" fontId="0" fillId="0" borderId="0" xfId="0" applyNumberFormat="1" applyBorder="1"/>
    <xf numFmtId="0" fontId="13" fillId="0" borderId="0" xfId="0" applyFont="1"/>
    <xf numFmtId="2" fontId="13" fillId="0" borderId="0" xfId="0" applyNumberFormat="1" applyFont="1"/>
    <xf numFmtId="4" fontId="5" fillId="0" borderId="3" xfId="1" applyNumberFormat="1" applyFont="1" applyFill="1" applyBorder="1" applyAlignment="1">
      <alignment horizontal="center"/>
    </xf>
    <xf numFmtId="4" fontId="5" fillId="0" borderId="8" xfId="1" applyNumberFormat="1" applyFont="1" applyFill="1" applyBorder="1" applyAlignment="1">
      <alignment horizontal="center"/>
    </xf>
    <xf numFmtId="4" fontId="0" fillId="0" borderId="2" xfId="0" applyNumberFormat="1" applyBorder="1" applyAlignment="1">
      <alignment horizontal="center" vertical="center"/>
    </xf>
    <xf numFmtId="0" fontId="4" fillId="0" borderId="2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264"/>
  <sheetViews>
    <sheetView tabSelected="1" workbookViewId="0">
      <selection activeCell="I18" sqref="I18"/>
    </sheetView>
  </sheetViews>
  <sheetFormatPr defaultColWidth="9.140625" defaultRowHeight="15" x14ac:dyDescent="0.25"/>
  <cols>
    <col min="1" max="1" width="27" customWidth="1"/>
    <col min="2" max="2" width="12.140625" style="39" customWidth="1"/>
    <col min="3" max="3" width="11.140625" style="39" customWidth="1"/>
    <col min="4" max="4" width="39" customWidth="1"/>
    <col min="5" max="5" width="17.7109375" customWidth="1"/>
    <col min="6" max="6" width="15.42578125" style="37" customWidth="1"/>
    <col min="7" max="7" width="12.42578125" style="6" bestFit="1" customWidth="1"/>
    <col min="8" max="8" width="16.5703125" customWidth="1"/>
    <col min="9" max="9" width="11.42578125" bestFit="1" customWidth="1"/>
    <col min="10" max="10" width="10" bestFit="1" customWidth="1"/>
    <col min="11" max="11" width="9.7109375" customWidth="1"/>
    <col min="12" max="12" width="8.7109375" customWidth="1"/>
    <col min="13" max="13" width="11.42578125" bestFit="1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38"/>
      <c r="C1" s="38"/>
      <c r="D1" s="2"/>
      <c r="E1" s="61" t="s">
        <v>0</v>
      </c>
      <c r="F1" s="61"/>
      <c r="G1" s="3"/>
    </row>
    <row r="2" spans="1:12" ht="15.75" customHeight="1" x14ac:dyDescent="0.25">
      <c r="A2" s="1"/>
      <c r="B2" s="38"/>
      <c r="C2" s="38"/>
      <c r="D2" s="2"/>
      <c r="E2" s="61" t="s">
        <v>78</v>
      </c>
      <c r="F2" s="61"/>
      <c r="G2" s="3"/>
      <c r="I2" s="4"/>
      <c r="J2" s="4"/>
      <c r="K2" s="4"/>
      <c r="L2" s="4"/>
    </row>
    <row r="3" spans="1:12" hidden="1" x14ac:dyDescent="0.25">
      <c r="A3" s="1"/>
      <c r="B3" s="38"/>
      <c r="C3" s="38"/>
      <c r="D3" s="1"/>
      <c r="E3" s="1"/>
      <c r="F3" s="5"/>
    </row>
    <row r="4" spans="1:12" x14ac:dyDescent="0.25">
      <c r="A4" s="1"/>
      <c r="B4" s="38"/>
      <c r="C4" s="38"/>
      <c r="D4" s="1"/>
      <c r="E4" s="1"/>
      <c r="F4" s="5"/>
      <c r="G4"/>
    </row>
    <row r="5" spans="1:12" ht="54.75" customHeight="1" x14ac:dyDescent="0.25">
      <c r="A5" s="62" t="s">
        <v>1</v>
      </c>
      <c r="B5" s="62"/>
      <c r="C5" s="62"/>
      <c r="D5" s="62"/>
      <c r="E5" s="62"/>
      <c r="F5" s="62"/>
      <c r="G5"/>
    </row>
    <row r="6" spans="1:12" ht="13.5" customHeight="1" x14ac:dyDescent="0.25">
      <c r="A6" s="63" t="s">
        <v>2</v>
      </c>
      <c r="B6" s="63"/>
      <c r="C6" s="63"/>
      <c r="D6" s="63"/>
      <c r="E6" s="63"/>
      <c r="F6" s="63"/>
      <c r="G6"/>
    </row>
    <row r="7" spans="1:12" ht="105.75" customHeight="1" x14ac:dyDescent="0.25">
      <c r="A7" s="7" t="s">
        <v>3</v>
      </c>
      <c r="B7" s="7" t="s">
        <v>4</v>
      </c>
      <c r="C7" s="7" t="s">
        <v>5</v>
      </c>
      <c r="D7" s="7" t="s">
        <v>6</v>
      </c>
      <c r="E7" s="7" t="s">
        <v>7</v>
      </c>
      <c r="F7" s="8" t="s">
        <v>8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27" customHeight="1" x14ac:dyDescent="0.25">
      <c r="A9" s="49" t="s">
        <v>9</v>
      </c>
      <c r="B9" s="52" t="s">
        <v>10</v>
      </c>
      <c r="C9" s="52" t="s">
        <v>11</v>
      </c>
      <c r="D9" s="55" t="s">
        <v>12</v>
      </c>
      <c r="E9" s="56"/>
      <c r="F9" s="57"/>
      <c r="G9"/>
    </row>
    <row r="10" spans="1:12" x14ac:dyDescent="0.25">
      <c r="A10" s="50"/>
      <c r="B10" s="53"/>
      <c r="C10" s="53"/>
      <c r="D10" s="48" t="s">
        <v>13</v>
      </c>
      <c r="E10" s="48"/>
      <c r="F10" s="48"/>
      <c r="G10"/>
    </row>
    <row r="11" spans="1:12" x14ac:dyDescent="0.25">
      <c r="A11" s="50"/>
      <c r="B11" s="53"/>
      <c r="C11" s="53"/>
      <c r="D11" s="11" t="s">
        <v>14</v>
      </c>
      <c r="E11" s="12" t="s">
        <v>15</v>
      </c>
      <c r="F11" s="13">
        <v>47.81</v>
      </c>
      <c r="G11"/>
    </row>
    <row r="12" spans="1:12" x14ac:dyDescent="0.25">
      <c r="A12" s="50"/>
      <c r="B12" s="53"/>
      <c r="C12" s="53"/>
      <c r="D12" s="14" t="s">
        <v>16</v>
      </c>
      <c r="E12" s="15" t="s">
        <v>17</v>
      </c>
      <c r="F12" s="13">
        <f>19013200*0.19/106</f>
        <v>34080.264150943396</v>
      </c>
      <c r="H12" s="41"/>
    </row>
    <row r="13" spans="1:12" x14ac:dyDescent="0.25">
      <c r="A13" s="50"/>
      <c r="B13" s="53"/>
      <c r="C13" s="53"/>
      <c r="D13" s="16" t="s">
        <v>18</v>
      </c>
      <c r="E13" s="15" t="s">
        <v>17</v>
      </c>
      <c r="F13" s="17">
        <f>F12*30.2%</f>
        <v>10292.239773584904</v>
      </c>
      <c r="G13"/>
      <c r="H13" s="41"/>
    </row>
    <row r="14" spans="1:12" x14ac:dyDescent="0.25">
      <c r="A14" s="50"/>
      <c r="B14" s="53"/>
      <c r="C14" s="53"/>
      <c r="D14" s="55" t="s">
        <v>19</v>
      </c>
      <c r="E14" s="56"/>
      <c r="F14" s="57"/>
      <c r="G14"/>
      <c r="H14" s="42"/>
    </row>
    <row r="15" spans="1:12" x14ac:dyDescent="0.25">
      <c r="A15" s="50"/>
      <c r="B15" s="53"/>
      <c r="C15" s="53"/>
      <c r="D15" s="48" t="s">
        <v>20</v>
      </c>
      <c r="E15" s="48"/>
      <c r="F15" s="48"/>
      <c r="G15"/>
      <c r="H15" s="40"/>
    </row>
    <row r="16" spans="1:12" ht="15.75" x14ac:dyDescent="0.25">
      <c r="A16" s="50"/>
      <c r="B16" s="53"/>
      <c r="C16" s="53"/>
      <c r="D16" s="18" t="s">
        <v>21</v>
      </c>
      <c r="E16" s="19" t="s">
        <v>22</v>
      </c>
      <c r="F16" s="20">
        <f>900000*0.19/106</f>
        <v>1613.2075471698113</v>
      </c>
      <c r="G16"/>
      <c r="H16" s="44"/>
    </row>
    <row r="17" spans="1:8" x14ac:dyDescent="0.25">
      <c r="A17" s="50"/>
      <c r="B17" s="53"/>
      <c r="C17" s="53"/>
      <c r="D17" s="18" t="s">
        <v>23</v>
      </c>
      <c r="E17" s="19" t="s">
        <v>24</v>
      </c>
      <c r="F17" s="20">
        <f>1700000*0.19/106</f>
        <v>3047.1698113207549</v>
      </c>
      <c r="G17"/>
      <c r="H17" s="40"/>
    </row>
    <row r="18" spans="1:8" ht="15.75" x14ac:dyDescent="0.25">
      <c r="A18" s="50"/>
      <c r="B18" s="53"/>
      <c r="C18" s="53"/>
      <c r="D18" s="18" t="s">
        <v>25</v>
      </c>
      <c r="E18" s="19" t="s">
        <v>26</v>
      </c>
      <c r="F18" s="20">
        <f>84927*0.19/106</f>
        <v>152.22764150943397</v>
      </c>
      <c r="G18"/>
      <c r="H18" s="6"/>
    </row>
    <row r="19" spans="1:8" ht="27" customHeight="1" x14ac:dyDescent="0.25">
      <c r="A19" s="50"/>
      <c r="B19" s="53"/>
      <c r="C19" s="53"/>
      <c r="D19" s="55" t="s">
        <v>27</v>
      </c>
      <c r="E19" s="56"/>
      <c r="F19" s="57"/>
      <c r="G19"/>
    </row>
    <row r="20" spans="1:8" x14ac:dyDescent="0.25">
      <c r="A20" s="50"/>
      <c r="B20" s="53"/>
      <c r="C20" s="53"/>
      <c r="D20" s="21" t="s">
        <v>28</v>
      </c>
      <c r="E20" s="22" t="s">
        <v>29</v>
      </c>
      <c r="F20" s="23">
        <f>25000*0.35/106</f>
        <v>82.547169811320757</v>
      </c>
    </row>
    <row r="21" spans="1:8" x14ac:dyDescent="0.25">
      <c r="A21" s="50"/>
      <c r="B21" s="53"/>
      <c r="C21" s="53"/>
      <c r="D21" s="21" t="s">
        <v>30</v>
      </c>
      <c r="E21" s="22" t="s">
        <v>29</v>
      </c>
      <c r="F21" s="23">
        <f>(28800+1000+38276)*0.35/106</f>
        <v>224.77924528301887</v>
      </c>
    </row>
    <row r="22" spans="1:8" ht="25.5" x14ac:dyDescent="0.25">
      <c r="A22" s="50"/>
      <c r="B22" s="53"/>
      <c r="C22" s="53"/>
      <c r="D22" s="24" t="s">
        <v>31</v>
      </c>
      <c r="E22" s="7" t="s">
        <v>29</v>
      </c>
      <c r="F22" s="8">
        <f>0.44*(15000+6000)/106</f>
        <v>87.169811320754718</v>
      </c>
      <c r="G22"/>
    </row>
    <row r="23" spans="1:8" x14ac:dyDescent="0.25">
      <c r="A23" s="50"/>
      <c r="B23" s="53"/>
      <c r="C23" s="53"/>
      <c r="D23" s="24" t="s">
        <v>32</v>
      </c>
      <c r="E23" s="22" t="s">
        <v>29</v>
      </c>
      <c r="F23" s="13">
        <f>(32400+24398.96)*0.44/106</f>
        <v>235.76926792452829</v>
      </c>
      <c r="G23"/>
    </row>
    <row r="24" spans="1:8" ht="39" x14ac:dyDescent="0.25">
      <c r="A24" s="50"/>
      <c r="B24" s="53"/>
      <c r="C24" s="53"/>
      <c r="D24" s="25" t="s">
        <v>33</v>
      </c>
      <c r="E24" s="22" t="s">
        <v>29</v>
      </c>
      <c r="F24" s="13">
        <f>24000*0.44/106</f>
        <v>99.622641509433961</v>
      </c>
      <c r="G24"/>
    </row>
    <row r="25" spans="1:8" x14ac:dyDescent="0.25">
      <c r="A25" s="50"/>
      <c r="B25" s="53"/>
      <c r="C25" s="53"/>
      <c r="D25" s="24" t="s">
        <v>34</v>
      </c>
      <c r="E25" s="22" t="s">
        <v>29</v>
      </c>
      <c r="F25" s="13">
        <f>120000*0.44/106</f>
        <v>498.11320754716979</v>
      </c>
      <c r="G25"/>
    </row>
    <row r="26" spans="1:8" x14ac:dyDescent="0.25">
      <c r="A26" s="50"/>
      <c r="B26" s="53"/>
      <c r="C26" s="53"/>
      <c r="D26" s="24" t="s">
        <v>35</v>
      </c>
      <c r="E26" s="22" t="s">
        <v>29</v>
      </c>
      <c r="F26" s="13">
        <f>32000*0.44/106</f>
        <v>132.83018867924528</v>
      </c>
      <c r="G26"/>
    </row>
    <row r="27" spans="1:8" ht="26.25" x14ac:dyDescent="0.25">
      <c r="A27" s="50"/>
      <c r="B27" s="53"/>
      <c r="C27" s="53"/>
      <c r="D27" s="25" t="s">
        <v>36</v>
      </c>
      <c r="E27" s="22" t="s">
        <v>29</v>
      </c>
      <c r="F27" s="13">
        <f>17946.44*0.44/106</f>
        <v>74.494656603773578</v>
      </c>
      <c r="G27"/>
    </row>
    <row r="28" spans="1:8" ht="29.25" customHeight="1" x14ac:dyDescent="0.25">
      <c r="A28" s="50"/>
      <c r="B28" s="53"/>
      <c r="C28" s="53"/>
      <c r="D28" s="55" t="s">
        <v>37</v>
      </c>
      <c r="E28" s="56"/>
      <c r="F28" s="57"/>
      <c r="G28"/>
    </row>
    <row r="29" spans="1:8" x14ac:dyDescent="0.25">
      <c r="A29" s="50"/>
      <c r="B29" s="53"/>
      <c r="C29" s="53"/>
      <c r="D29" s="24" t="s">
        <v>38</v>
      </c>
      <c r="E29" s="26" t="s">
        <v>39</v>
      </c>
      <c r="F29" s="8">
        <f>10*0.44</f>
        <v>4.4000000000000004</v>
      </c>
      <c r="G29"/>
      <c r="H29" s="6"/>
    </row>
    <row r="30" spans="1:8" x14ac:dyDescent="0.25">
      <c r="A30" s="50"/>
      <c r="B30" s="53"/>
      <c r="C30" s="53"/>
      <c r="D30" s="55" t="s">
        <v>40</v>
      </c>
      <c r="E30" s="56"/>
      <c r="F30" s="57"/>
      <c r="G30"/>
    </row>
    <row r="31" spans="1:8" x14ac:dyDescent="0.25">
      <c r="A31" s="50"/>
      <c r="B31" s="53"/>
      <c r="C31" s="53"/>
      <c r="D31" s="27" t="s">
        <v>41</v>
      </c>
      <c r="E31" s="28" t="s">
        <v>29</v>
      </c>
      <c r="F31" s="8">
        <f>0.44*30000/106</f>
        <v>124.52830188679245</v>
      </c>
      <c r="G31"/>
    </row>
    <row r="32" spans="1:8" ht="30" customHeight="1" x14ac:dyDescent="0.25">
      <c r="A32" s="50"/>
      <c r="B32" s="53"/>
      <c r="C32" s="53"/>
      <c r="D32" s="48" t="s">
        <v>43</v>
      </c>
      <c r="E32" s="48"/>
      <c r="F32" s="48"/>
      <c r="G32"/>
    </row>
    <row r="33" spans="1:26" ht="26.25" x14ac:dyDescent="0.25">
      <c r="A33" s="50"/>
      <c r="B33" s="53"/>
      <c r="C33" s="53"/>
      <c r="D33" s="29" t="s">
        <v>44</v>
      </c>
      <c r="E33" s="22" t="s">
        <v>15</v>
      </c>
      <c r="F33" s="8">
        <v>18.899999999999999</v>
      </c>
      <c r="G33"/>
    </row>
    <row r="34" spans="1:26" x14ac:dyDescent="0.25">
      <c r="A34" s="50"/>
      <c r="B34" s="53"/>
      <c r="C34" s="53"/>
      <c r="D34" s="14" t="s">
        <v>16</v>
      </c>
      <c r="E34" s="15" t="s">
        <v>17</v>
      </c>
      <c r="F34" s="17">
        <f>6510100*0.19/106</f>
        <v>11669.047169811322</v>
      </c>
      <c r="G34"/>
    </row>
    <row r="35" spans="1:26" x14ac:dyDescent="0.25">
      <c r="A35" s="50"/>
      <c r="B35" s="53"/>
      <c r="C35" s="53"/>
      <c r="D35" s="16" t="s">
        <v>18</v>
      </c>
      <c r="E35" s="15" t="s">
        <v>17</v>
      </c>
      <c r="F35" s="17">
        <f>F34*30.2%</f>
        <v>3524.0522452830191</v>
      </c>
      <c r="G35"/>
    </row>
    <row r="36" spans="1:26" x14ac:dyDescent="0.25">
      <c r="A36" s="50"/>
      <c r="B36" s="53"/>
      <c r="C36" s="53"/>
      <c r="D36" s="48" t="s">
        <v>45</v>
      </c>
      <c r="E36" s="48"/>
      <c r="F36" s="48"/>
      <c r="G36"/>
    </row>
    <row r="37" spans="1:26" x14ac:dyDescent="0.25">
      <c r="A37" s="50"/>
      <c r="B37" s="53"/>
      <c r="C37" s="53"/>
      <c r="D37" s="30" t="s">
        <v>46</v>
      </c>
      <c r="E37" s="31" t="s">
        <v>17</v>
      </c>
      <c r="F37" s="32">
        <f>(79500+10000)*0.44/106</f>
        <v>371.50943396226415</v>
      </c>
      <c r="G37"/>
    </row>
    <row r="38" spans="1:26" x14ac:dyDescent="0.25">
      <c r="A38" s="50"/>
      <c r="B38" s="53"/>
      <c r="C38" s="53"/>
      <c r="D38" s="30" t="s">
        <v>47</v>
      </c>
      <c r="E38" s="31" t="s">
        <v>17</v>
      </c>
      <c r="F38" s="32">
        <f>45000*0.44/106</f>
        <v>186.79245283018867</v>
      </c>
      <c r="G38"/>
    </row>
    <row r="39" spans="1:26" ht="18" customHeight="1" x14ac:dyDescent="0.25">
      <c r="A39" s="50"/>
      <c r="B39" s="53"/>
      <c r="C39" s="53"/>
      <c r="D39" s="30" t="s">
        <v>48</v>
      </c>
      <c r="E39" s="31" t="s">
        <v>17</v>
      </c>
      <c r="F39" s="32">
        <f>180000*0.44/106</f>
        <v>747.16981132075466</v>
      </c>
      <c r="G39"/>
    </row>
    <row r="40" spans="1:26" x14ac:dyDescent="0.25">
      <c r="A40" s="50"/>
      <c r="B40" s="53"/>
      <c r="C40" s="53"/>
      <c r="D40" s="33" t="s">
        <v>49</v>
      </c>
      <c r="E40" s="9" t="s">
        <v>17</v>
      </c>
      <c r="F40" s="32">
        <f>0.44*140990/106</f>
        <v>585.24150943396228</v>
      </c>
      <c r="G40"/>
    </row>
    <row r="41" spans="1:26" x14ac:dyDescent="0.25">
      <c r="A41" s="50"/>
      <c r="B41" s="53"/>
      <c r="C41" s="53"/>
      <c r="D41" s="30" t="s">
        <v>50</v>
      </c>
      <c r="E41" s="31" t="s">
        <v>51</v>
      </c>
      <c r="F41" s="17">
        <f>70*0.44</f>
        <v>30.8</v>
      </c>
      <c r="G41"/>
    </row>
    <row r="42" spans="1:26" x14ac:dyDescent="0.25">
      <c r="A42" s="50"/>
      <c r="B42" s="53"/>
      <c r="C42" s="53"/>
      <c r="D42" s="33" t="s">
        <v>52</v>
      </c>
      <c r="E42" s="34" t="s">
        <v>17</v>
      </c>
      <c r="F42" s="17">
        <f>0.44*(21500+3200+1150000)/106</f>
        <v>4876.1132075471696</v>
      </c>
      <c r="G42"/>
    </row>
    <row r="43" spans="1:26" ht="26.25" x14ac:dyDescent="0.25">
      <c r="A43" s="50"/>
      <c r="B43" s="53"/>
      <c r="C43" s="53"/>
      <c r="D43" s="30" t="s">
        <v>53</v>
      </c>
      <c r="E43" s="12" t="s">
        <v>17</v>
      </c>
      <c r="F43" s="32">
        <f>5000*0.44/106</f>
        <v>20.754716981132077</v>
      </c>
      <c r="G43"/>
    </row>
    <row r="44" spans="1:26" x14ac:dyDescent="0.25">
      <c r="A44" s="51"/>
      <c r="B44" s="54"/>
      <c r="C44" s="54"/>
      <c r="D44" s="30" t="s">
        <v>34</v>
      </c>
      <c r="E44" s="12" t="s">
        <v>17</v>
      </c>
      <c r="F44" s="32">
        <f>(5000+37048+20116)*0.35/106</f>
        <v>205.25849056603772</v>
      </c>
      <c r="G44"/>
    </row>
    <row r="45" spans="1:26" s="35" customFormat="1" ht="22.5" customHeight="1" x14ac:dyDescent="0.25">
      <c r="A45" s="49" t="s">
        <v>54</v>
      </c>
      <c r="B45" s="52" t="s">
        <v>55</v>
      </c>
      <c r="C45" s="52" t="s">
        <v>11</v>
      </c>
      <c r="D45" s="55" t="s">
        <v>12</v>
      </c>
      <c r="E45" s="56"/>
      <c r="F45" s="57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</row>
    <row r="46" spans="1:26" s="35" customFormat="1" x14ac:dyDescent="0.25">
      <c r="A46" s="50"/>
      <c r="B46" s="53"/>
      <c r="C46" s="53"/>
      <c r="D46" s="48" t="s">
        <v>13</v>
      </c>
      <c r="E46" s="48"/>
      <c r="F46" s="48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35" customFormat="1" x14ac:dyDescent="0.25">
      <c r="A47" s="50"/>
      <c r="B47" s="53"/>
      <c r="C47" s="53"/>
      <c r="D47" s="11" t="s">
        <v>14</v>
      </c>
      <c r="E47" s="12" t="s">
        <v>15</v>
      </c>
      <c r="F47" s="13">
        <v>47.81</v>
      </c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35" customFormat="1" x14ac:dyDescent="0.25">
      <c r="A48" s="50"/>
      <c r="B48" s="53"/>
      <c r="C48" s="53"/>
      <c r="D48" s="14" t="s">
        <v>16</v>
      </c>
      <c r="E48" s="15" t="s">
        <v>17</v>
      </c>
      <c r="F48" s="13">
        <f>19013200*0.2/111</f>
        <v>34258.018018018018</v>
      </c>
      <c r="G48" s="6"/>
      <c r="H48" s="6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35" customFormat="1" x14ac:dyDescent="0.25">
      <c r="A49" s="50"/>
      <c r="B49" s="53"/>
      <c r="C49" s="53"/>
      <c r="D49" s="16" t="s">
        <v>18</v>
      </c>
      <c r="E49" s="15" t="s">
        <v>17</v>
      </c>
      <c r="F49" s="17">
        <f>F48*30.2%</f>
        <v>10345.921441441442</v>
      </c>
      <c r="G49"/>
      <c r="H49" s="6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35" customFormat="1" ht="15" customHeight="1" x14ac:dyDescent="0.25">
      <c r="A50" s="50"/>
      <c r="B50" s="53"/>
      <c r="C50" s="53"/>
      <c r="D50" s="55" t="s">
        <v>19</v>
      </c>
      <c r="E50" s="56"/>
      <c r="F50" s="57"/>
      <c r="G50"/>
      <c r="H50" s="6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35" customFormat="1" x14ac:dyDescent="0.25">
      <c r="A51" s="50"/>
      <c r="B51" s="53"/>
      <c r="C51" s="53"/>
      <c r="D51" s="48" t="s">
        <v>20</v>
      </c>
      <c r="E51" s="48"/>
      <c r="F51" s="48"/>
      <c r="G51"/>
      <c r="H51" s="6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35" customFormat="1" x14ac:dyDescent="0.25">
      <c r="A52" s="50"/>
      <c r="B52" s="53"/>
      <c r="C52" s="53"/>
      <c r="D52" s="18" t="s">
        <v>21</v>
      </c>
      <c r="E52" s="19" t="s">
        <v>22</v>
      </c>
      <c r="F52" s="20">
        <f>900000*0.2/111</f>
        <v>1621.6216216216217</v>
      </c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35" customFormat="1" x14ac:dyDescent="0.25">
      <c r="A53" s="50"/>
      <c r="B53" s="53"/>
      <c r="C53" s="53"/>
      <c r="D53" s="18" t="s">
        <v>23</v>
      </c>
      <c r="E53" s="19" t="s">
        <v>24</v>
      </c>
      <c r="F53" s="20">
        <f>1700000*0.2/111</f>
        <v>3063.0630630630631</v>
      </c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35" customFormat="1" ht="15.75" x14ac:dyDescent="0.25">
      <c r="A54" s="50"/>
      <c r="B54" s="53"/>
      <c r="C54" s="53"/>
      <c r="D54" s="18" t="s">
        <v>25</v>
      </c>
      <c r="E54" s="19" t="s">
        <v>26</v>
      </c>
      <c r="F54" s="20">
        <f>84927*0.2/111</f>
        <v>153.02162162162165</v>
      </c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35" customFormat="1" ht="29.25" customHeight="1" x14ac:dyDescent="0.25">
      <c r="A55" s="50"/>
      <c r="B55" s="53"/>
      <c r="C55" s="53"/>
      <c r="D55" s="55" t="s">
        <v>27</v>
      </c>
      <c r="E55" s="56"/>
      <c r="F55" s="57"/>
      <c r="G55"/>
      <c r="H55" s="6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s="35" customFormat="1" x14ac:dyDescent="0.25">
      <c r="A56" s="50"/>
      <c r="B56" s="53"/>
      <c r="C56" s="53"/>
      <c r="D56" s="21" t="s">
        <v>28</v>
      </c>
      <c r="E56" s="22" t="s">
        <v>29</v>
      </c>
      <c r="F56" s="23">
        <f>25000*0.34/111</f>
        <v>76.576576576576571</v>
      </c>
      <c r="G56" s="6"/>
      <c r="H56" s="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1:26" s="35" customFormat="1" x14ac:dyDescent="0.25">
      <c r="A57" s="50"/>
      <c r="B57" s="53"/>
      <c r="C57" s="53"/>
      <c r="D57" s="21" t="s">
        <v>30</v>
      </c>
      <c r="E57" s="22" t="s">
        <v>29</v>
      </c>
      <c r="F57" s="23">
        <f>(28800+1000+38276)*0.34/111</f>
        <v>208.52108108108109</v>
      </c>
      <c r="G57" s="6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35" customFormat="1" ht="25.5" x14ac:dyDescent="0.25">
      <c r="A58" s="50"/>
      <c r="B58" s="53"/>
      <c r="C58" s="53"/>
      <c r="D58" s="24" t="s">
        <v>31</v>
      </c>
      <c r="E58" s="7" t="s">
        <v>29</v>
      </c>
      <c r="F58" s="8">
        <f>0.46*(15000+6000)/111</f>
        <v>87.027027027027032</v>
      </c>
      <c r="G58"/>
      <c r="H58" s="6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35" customFormat="1" x14ac:dyDescent="0.25">
      <c r="A59" s="50"/>
      <c r="B59" s="53"/>
      <c r="C59" s="53"/>
      <c r="D59" s="24" t="s">
        <v>32</v>
      </c>
      <c r="E59" s="22" t="s">
        <v>29</v>
      </c>
      <c r="F59" s="13">
        <f>(32400+24398.96)*0.46/111</f>
        <v>235.38307747747749</v>
      </c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35" customFormat="1" ht="39" x14ac:dyDescent="0.25">
      <c r="A60" s="50"/>
      <c r="B60" s="53"/>
      <c r="C60" s="53"/>
      <c r="D60" s="25" t="s">
        <v>33</v>
      </c>
      <c r="E60" s="22" t="s">
        <v>29</v>
      </c>
      <c r="F60" s="13">
        <f>24000*0.46/111</f>
        <v>99.459459459459453</v>
      </c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35" customFormat="1" x14ac:dyDescent="0.25">
      <c r="A61" s="50"/>
      <c r="B61" s="53"/>
      <c r="C61" s="53"/>
      <c r="D61" s="24" t="s">
        <v>34</v>
      </c>
      <c r="E61" s="22" t="s">
        <v>29</v>
      </c>
      <c r="F61" s="13">
        <f>120000*0.46/111</f>
        <v>497.29729729729729</v>
      </c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35" customFormat="1" x14ac:dyDescent="0.25">
      <c r="A62" s="50"/>
      <c r="B62" s="53"/>
      <c r="C62" s="53"/>
      <c r="D62" s="24" t="s">
        <v>35</v>
      </c>
      <c r="E62" s="22" t="s">
        <v>29</v>
      </c>
      <c r="F62" s="13">
        <f>32000*0.46/111</f>
        <v>132.61261261261262</v>
      </c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35" customFormat="1" ht="26.25" x14ac:dyDescent="0.25">
      <c r="A63" s="50"/>
      <c r="B63" s="53"/>
      <c r="C63" s="53"/>
      <c r="D63" s="25" t="s">
        <v>36</v>
      </c>
      <c r="E63" s="22" t="s">
        <v>29</v>
      </c>
      <c r="F63" s="13">
        <f>17946.44*0.46/111</f>
        <v>74.372634234234241</v>
      </c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35" customFormat="1" ht="29.25" customHeight="1" x14ac:dyDescent="0.25">
      <c r="A64" s="50"/>
      <c r="B64" s="53"/>
      <c r="C64" s="53"/>
      <c r="D64" s="55" t="s">
        <v>37</v>
      </c>
      <c r="E64" s="56"/>
      <c r="F64" s="57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35" customFormat="1" x14ac:dyDescent="0.25">
      <c r="A65" s="50"/>
      <c r="B65" s="53"/>
      <c r="C65" s="53"/>
      <c r="D65" s="24" t="s">
        <v>38</v>
      </c>
      <c r="E65" s="26" t="s">
        <v>39</v>
      </c>
      <c r="F65" s="8">
        <f>10*0.46</f>
        <v>4.6000000000000005</v>
      </c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35" customFormat="1" x14ac:dyDescent="0.25">
      <c r="A66" s="50"/>
      <c r="B66" s="53"/>
      <c r="C66" s="53"/>
      <c r="D66" s="55" t="s">
        <v>40</v>
      </c>
      <c r="E66" s="56"/>
      <c r="F66" s="57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35" customFormat="1" x14ac:dyDescent="0.25">
      <c r="A67" s="50"/>
      <c r="B67" s="53"/>
      <c r="C67" s="53"/>
      <c r="D67" s="27" t="s">
        <v>41</v>
      </c>
      <c r="E67" s="28" t="s">
        <v>29</v>
      </c>
      <c r="F67" s="8">
        <f>0.46*30000/111</f>
        <v>124.32432432432432</v>
      </c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35" customFormat="1" ht="30" customHeight="1" x14ac:dyDescent="0.25">
      <c r="A68" s="50"/>
      <c r="B68" s="53"/>
      <c r="C68" s="53"/>
      <c r="D68" s="48" t="s">
        <v>43</v>
      </c>
      <c r="E68" s="48"/>
      <c r="F68" s="4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35" customFormat="1" ht="26.25" x14ac:dyDescent="0.25">
      <c r="A69" s="50"/>
      <c r="B69" s="53"/>
      <c r="C69" s="53"/>
      <c r="D69" s="29" t="s">
        <v>44</v>
      </c>
      <c r="E69" s="22" t="s">
        <v>15</v>
      </c>
      <c r="F69" s="8">
        <v>18.899999999999999</v>
      </c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35" customFormat="1" x14ac:dyDescent="0.25">
      <c r="A70" s="50"/>
      <c r="B70" s="53"/>
      <c r="C70" s="53"/>
      <c r="D70" s="14" t="s">
        <v>16</v>
      </c>
      <c r="E70" s="15" t="s">
        <v>17</v>
      </c>
      <c r="F70" s="17">
        <f>6510100*0.2/111</f>
        <v>11729.909909909909</v>
      </c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35" customFormat="1" x14ac:dyDescent="0.25">
      <c r="A71" s="50"/>
      <c r="B71" s="53"/>
      <c r="C71" s="53"/>
      <c r="D71" s="16" t="s">
        <v>18</v>
      </c>
      <c r="E71" s="15" t="s">
        <v>17</v>
      </c>
      <c r="F71" s="17">
        <f>F70*30.2%</f>
        <v>3542.4327927927925</v>
      </c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35" customFormat="1" x14ac:dyDescent="0.25">
      <c r="A72" s="50"/>
      <c r="B72" s="53"/>
      <c r="C72" s="53"/>
      <c r="D72" s="48" t="s">
        <v>45</v>
      </c>
      <c r="E72" s="48"/>
      <c r="F72" s="48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35" customFormat="1" x14ac:dyDescent="0.25">
      <c r="A73" s="50"/>
      <c r="B73" s="53"/>
      <c r="C73" s="53"/>
      <c r="D73" s="30" t="s">
        <v>46</v>
      </c>
      <c r="E73" s="31" t="s">
        <v>17</v>
      </c>
      <c r="F73" s="32">
        <f>(79500+10000)*0.46/111</f>
        <v>370.90090090090092</v>
      </c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35" customFormat="1" x14ac:dyDescent="0.25">
      <c r="A74" s="50"/>
      <c r="B74" s="53"/>
      <c r="C74" s="53"/>
      <c r="D74" s="30" t="s">
        <v>47</v>
      </c>
      <c r="E74" s="31" t="s">
        <v>17</v>
      </c>
      <c r="F74" s="32">
        <f>45000*0.46/111</f>
        <v>186.48648648648648</v>
      </c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35" customFormat="1" x14ac:dyDescent="0.25">
      <c r="A75" s="50"/>
      <c r="B75" s="53"/>
      <c r="C75" s="53"/>
      <c r="D75" s="30" t="s">
        <v>48</v>
      </c>
      <c r="E75" s="31" t="s">
        <v>17</v>
      </c>
      <c r="F75" s="32">
        <f>180000*0.46/111</f>
        <v>745.94594594594594</v>
      </c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35" customFormat="1" x14ac:dyDescent="0.25">
      <c r="A76" s="50"/>
      <c r="B76" s="53"/>
      <c r="C76" s="53"/>
      <c r="D76" s="33" t="s">
        <v>49</v>
      </c>
      <c r="E76" s="9" t="s">
        <v>17</v>
      </c>
      <c r="F76" s="32">
        <f>0.46*140990/111</f>
        <v>584.28288288288286</v>
      </c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35" customFormat="1" x14ac:dyDescent="0.25">
      <c r="A77" s="50"/>
      <c r="B77" s="53"/>
      <c r="C77" s="53"/>
      <c r="D77" s="30" t="s">
        <v>50</v>
      </c>
      <c r="E77" s="31" t="s">
        <v>51</v>
      </c>
      <c r="F77" s="17">
        <f>70*0.46</f>
        <v>32.200000000000003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35" customFormat="1" x14ac:dyDescent="0.25">
      <c r="A78" s="50"/>
      <c r="B78" s="53"/>
      <c r="C78" s="53"/>
      <c r="D78" s="33" t="s">
        <v>52</v>
      </c>
      <c r="E78" s="34" t="s">
        <v>17</v>
      </c>
      <c r="F78" s="17">
        <f>0.46*(21500+3200+1150000)/111</f>
        <v>4868.1261261261261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35" customFormat="1" ht="26.25" x14ac:dyDescent="0.25">
      <c r="A79" s="50"/>
      <c r="B79" s="53"/>
      <c r="C79" s="53"/>
      <c r="D79" s="30" t="s">
        <v>53</v>
      </c>
      <c r="E79" s="12" t="s">
        <v>17</v>
      </c>
      <c r="F79" s="32">
        <f>5000*0.46/111</f>
        <v>20.72072072072072</v>
      </c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35" customFormat="1" x14ac:dyDescent="0.25">
      <c r="A80" s="51"/>
      <c r="B80" s="54"/>
      <c r="C80" s="54"/>
      <c r="D80" s="30" t="s">
        <v>34</v>
      </c>
      <c r="E80" s="12" t="s">
        <v>17</v>
      </c>
      <c r="F80" s="32">
        <f>(5000+37048+20116)*0.34/111</f>
        <v>190.41225225225227</v>
      </c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35" customFormat="1" ht="21" customHeight="1" x14ac:dyDescent="0.25">
      <c r="A81" s="49" t="s">
        <v>56</v>
      </c>
      <c r="B81" s="52" t="s">
        <v>57</v>
      </c>
      <c r="C81" s="52" t="s">
        <v>11</v>
      </c>
      <c r="D81" s="55" t="s">
        <v>12</v>
      </c>
      <c r="E81" s="56"/>
      <c r="F81" s="57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35" customFormat="1" ht="15" customHeight="1" x14ac:dyDescent="0.25">
      <c r="A82" s="50"/>
      <c r="B82" s="53"/>
      <c r="C82" s="53"/>
      <c r="D82" s="48" t="s">
        <v>13</v>
      </c>
      <c r="E82" s="48"/>
      <c r="F82" s="48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35" customFormat="1" ht="15" customHeight="1" x14ac:dyDescent="0.25">
      <c r="A83" s="50"/>
      <c r="B83" s="53"/>
      <c r="C83" s="53"/>
      <c r="D83" s="11" t="s">
        <v>14</v>
      </c>
      <c r="E83" s="12" t="s">
        <v>15</v>
      </c>
      <c r="F83" s="13">
        <v>47.81</v>
      </c>
      <c r="G83"/>
      <c r="H83" s="6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35" customFormat="1" x14ac:dyDescent="0.25">
      <c r="A84" s="50"/>
      <c r="B84" s="53"/>
      <c r="C84" s="53"/>
      <c r="D84" s="14" t="s">
        <v>16</v>
      </c>
      <c r="E84" s="15" t="s">
        <v>17</v>
      </c>
      <c r="F84" s="13">
        <f>19013200*0.05/24</f>
        <v>39610.833333333336</v>
      </c>
      <c r="G84" s="6"/>
      <c r="H84" s="6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35" customFormat="1" x14ac:dyDescent="0.25">
      <c r="A85" s="50"/>
      <c r="B85" s="53"/>
      <c r="C85" s="53"/>
      <c r="D85" s="16" t="s">
        <v>18</v>
      </c>
      <c r="E85" s="15" t="s">
        <v>17</v>
      </c>
      <c r="F85" s="17">
        <f>F84*30.2%</f>
        <v>11962.471666666666</v>
      </c>
      <c r="G85"/>
      <c r="H85" s="6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35" customFormat="1" ht="15" customHeight="1" x14ac:dyDescent="0.25">
      <c r="A86" s="50"/>
      <c r="B86" s="53"/>
      <c r="C86" s="53"/>
      <c r="D86" s="55" t="s">
        <v>19</v>
      </c>
      <c r="E86" s="56"/>
      <c r="F86" s="57"/>
      <c r="G86"/>
      <c r="H86" s="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35" customFormat="1" ht="15" customHeight="1" x14ac:dyDescent="0.25">
      <c r="A87" s="50"/>
      <c r="B87" s="53"/>
      <c r="C87" s="53"/>
      <c r="D87" s="48" t="s">
        <v>20</v>
      </c>
      <c r="E87" s="48"/>
      <c r="F87" s="48"/>
      <c r="G87"/>
      <c r="H87" s="6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35" customFormat="1" ht="15.75" x14ac:dyDescent="0.25">
      <c r="A88" s="50"/>
      <c r="B88" s="53"/>
      <c r="C88" s="53"/>
      <c r="D88" s="18" t="s">
        <v>21</v>
      </c>
      <c r="E88" s="19" t="s">
        <v>22</v>
      </c>
      <c r="F88" s="20">
        <f>900000*0.04/24</f>
        <v>1500</v>
      </c>
      <c r="G88"/>
      <c r="H88" s="43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35" customFormat="1" x14ac:dyDescent="0.25">
      <c r="A89" s="50"/>
      <c r="B89" s="53"/>
      <c r="C89" s="53"/>
      <c r="D89" s="18" t="s">
        <v>23</v>
      </c>
      <c r="E89" s="19" t="s">
        <v>24</v>
      </c>
      <c r="F89" s="20">
        <f>1700000*0.04/24</f>
        <v>2833.3333333333335</v>
      </c>
      <c r="G89"/>
      <c r="H89" s="6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35" customFormat="1" ht="15.75" x14ac:dyDescent="0.25">
      <c r="A90" s="50"/>
      <c r="B90" s="53"/>
      <c r="C90" s="53"/>
      <c r="D90" s="18" t="s">
        <v>25</v>
      </c>
      <c r="E90" s="19" t="s">
        <v>26</v>
      </c>
      <c r="F90" s="20">
        <f>84927*0.04/24</f>
        <v>141.54499999999999</v>
      </c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35" customFormat="1" ht="28.5" customHeight="1" x14ac:dyDescent="0.25">
      <c r="A91" s="50"/>
      <c r="B91" s="53"/>
      <c r="C91" s="53"/>
      <c r="D91" s="55" t="s">
        <v>27</v>
      </c>
      <c r="E91" s="56"/>
      <c r="F91" s="57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35" customFormat="1" ht="15" customHeight="1" x14ac:dyDescent="0.25">
      <c r="A92" s="50"/>
      <c r="B92" s="53"/>
      <c r="C92" s="53"/>
      <c r="D92" s="21" t="s">
        <v>28</v>
      </c>
      <c r="E92" s="22" t="s">
        <v>29</v>
      </c>
      <c r="F92" s="23">
        <f>25000*0.07/24</f>
        <v>72.916666666666671</v>
      </c>
      <c r="G92" s="6"/>
      <c r="H92" s="6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35" customFormat="1" x14ac:dyDescent="0.25">
      <c r="A93" s="50"/>
      <c r="B93" s="53"/>
      <c r="C93" s="53"/>
      <c r="D93" s="21" t="s">
        <v>30</v>
      </c>
      <c r="E93" s="22" t="s">
        <v>29</v>
      </c>
      <c r="F93" s="23">
        <f>(28800+1000+38276)*0.07/24</f>
        <v>198.55500000000004</v>
      </c>
      <c r="G93" s="6"/>
      <c r="H93" s="6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35" customFormat="1" ht="25.5" x14ac:dyDescent="0.25">
      <c r="A94" s="50"/>
      <c r="B94" s="53"/>
      <c r="C94" s="53"/>
      <c r="D94" s="24" t="s">
        <v>31</v>
      </c>
      <c r="E94" s="7" t="s">
        <v>29</v>
      </c>
      <c r="F94" s="8">
        <f>0.1*(15000+6000)/24</f>
        <v>87.5</v>
      </c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35" customFormat="1" x14ac:dyDescent="0.25">
      <c r="A95" s="50"/>
      <c r="B95" s="53"/>
      <c r="C95" s="53"/>
      <c r="D95" s="24" t="s">
        <v>32</v>
      </c>
      <c r="E95" s="22" t="s">
        <v>29</v>
      </c>
      <c r="F95" s="13">
        <f>(32400+24398.96)*0.1/24</f>
        <v>236.66233333333335</v>
      </c>
      <c r="G95"/>
      <c r="H95" s="6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35" customFormat="1" ht="39" x14ac:dyDescent="0.25">
      <c r="A96" s="50"/>
      <c r="B96" s="53"/>
      <c r="C96" s="53"/>
      <c r="D96" s="25" t="s">
        <v>33</v>
      </c>
      <c r="E96" s="22" t="s">
        <v>29</v>
      </c>
      <c r="F96" s="13">
        <f>24000*0.1/24</f>
        <v>100</v>
      </c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35" customFormat="1" x14ac:dyDescent="0.25">
      <c r="A97" s="50"/>
      <c r="B97" s="53"/>
      <c r="C97" s="53"/>
      <c r="D97" s="24" t="s">
        <v>34</v>
      </c>
      <c r="E97" s="22" t="s">
        <v>29</v>
      </c>
      <c r="F97" s="13">
        <f>120000*0.1/24</f>
        <v>500</v>
      </c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35" customFormat="1" x14ac:dyDescent="0.25">
      <c r="A98" s="50"/>
      <c r="B98" s="53"/>
      <c r="C98" s="53"/>
      <c r="D98" s="24" t="s">
        <v>35</v>
      </c>
      <c r="E98" s="22" t="s">
        <v>29</v>
      </c>
      <c r="F98" s="13">
        <f>32000*0.1/24</f>
        <v>133.33333333333334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35" customFormat="1" ht="26.25" x14ac:dyDescent="0.25">
      <c r="A99" s="50"/>
      <c r="B99" s="53"/>
      <c r="C99" s="53"/>
      <c r="D99" s="25" t="s">
        <v>36</v>
      </c>
      <c r="E99" s="22" t="s">
        <v>29</v>
      </c>
      <c r="F99" s="13">
        <f>17946.44*0.1/24</f>
        <v>74.776833333333329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35" customFormat="1" ht="28.5" customHeight="1" x14ac:dyDescent="0.25">
      <c r="A100" s="50"/>
      <c r="B100" s="53"/>
      <c r="C100" s="53"/>
      <c r="D100" s="55" t="s">
        <v>37</v>
      </c>
      <c r="E100" s="56"/>
      <c r="F100" s="57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35" customFormat="1" ht="15" customHeight="1" x14ac:dyDescent="0.25">
      <c r="A101" s="50"/>
      <c r="B101" s="53"/>
      <c r="C101" s="53"/>
      <c r="D101" s="24" t="s">
        <v>38</v>
      </c>
      <c r="E101" s="26" t="s">
        <v>39</v>
      </c>
      <c r="F101" s="8">
        <f>10*0.1</f>
        <v>1</v>
      </c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35" customFormat="1" x14ac:dyDescent="0.25">
      <c r="A102" s="50"/>
      <c r="B102" s="53"/>
      <c r="C102" s="53"/>
      <c r="D102" s="55" t="s">
        <v>40</v>
      </c>
      <c r="E102" s="56"/>
      <c r="F102" s="57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35" customFormat="1" x14ac:dyDescent="0.25">
      <c r="A103" s="50"/>
      <c r="B103" s="53"/>
      <c r="C103" s="53"/>
      <c r="D103" s="27" t="s">
        <v>41</v>
      </c>
      <c r="E103" s="28" t="s">
        <v>29</v>
      </c>
      <c r="F103" s="8">
        <f>30000*0.1/24</f>
        <v>125</v>
      </c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35" customFormat="1" ht="31.5" customHeight="1" x14ac:dyDescent="0.25">
      <c r="A104" s="50"/>
      <c r="B104" s="53"/>
      <c r="C104" s="53"/>
      <c r="D104" s="48" t="s">
        <v>43</v>
      </c>
      <c r="E104" s="48"/>
      <c r="F104" s="48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35" customFormat="1" ht="15" customHeight="1" x14ac:dyDescent="0.25">
      <c r="A105" s="50"/>
      <c r="B105" s="53"/>
      <c r="C105" s="53"/>
      <c r="D105" s="29" t="s">
        <v>44</v>
      </c>
      <c r="E105" s="22" t="s">
        <v>15</v>
      </c>
      <c r="F105" s="8">
        <v>18.899999999999999</v>
      </c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35" customFormat="1" x14ac:dyDescent="0.25">
      <c r="A106" s="50"/>
      <c r="B106" s="53"/>
      <c r="C106" s="53"/>
      <c r="D106" s="14" t="s">
        <v>16</v>
      </c>
      <c r="E106" s="15" t="s">
        <v>17</v>
      </c>
      <c r="F106" s="17">
        <f>6510100*0.04/24</f>
        <v>10850.166666666666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35" customFormat="1" x14ac:dyDescent="0.25">
      <c r="A107" s="50"/>
      <c r="B107" s="53"/>
      <c r="C107" s="53"/>
      <c r="D107" s="16" t="s">
        <v>18</v>
      </c>
      <c r="E107" s="15" t="s">
        <v>17</v>
      </c>
      <c r="F107" s="17">
        <f>F106*30.2%</f>
        <v>3276.7503333333329</v>
      </c>
      <c r="G107"/>
      <c r="H107" s="6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35" customFormat="1" x14ac:dyDescent="0.25">
      <c r="A108" s="50"/>
      <c r="B108" s="53"/>
      <c r="C108" s="53"/>
      <c r="D108" s="48" t="s">
        <v>45</v>
      </c>
      <c r="E108" s="48"/>
      <c r="F108" s="4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35" customFormat="1" x14ac:dyDescent="0.25">
      <c r="A109" s="50"/>
      <c r="B109" s="53"/>
      <c r="C109" s="53"/>
      <c r="D109" s="30" t="s">
        <v>46</v>
      </c>
      <c r="E109" s="31" t="s">
        <v>17</v>
      </c>
      <c r="F109" s="32">
        <f>(79500+10000)*0.1/24</f>
        <v>372.91666666666669</v>
      </c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35" customFormat="1" x14ac:dyDescent="0.25">
      <c r="A110" s="50"/>
      <c r="B110" s="53"/>
      <c r="C110" s="53"/>
      <c r="D110" s="30" t="s">
        <v>47</v>
      </c>
      <c r="E110" s="31" t="s">
        <v>17</v>
      </c>
      <c r="F110" s="32">
        <f>45000*0.1/24</f>
        <v>187.5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35" customFormat="1" x14ac:dyDescent="0.25">
      <c r="A111" s="50"/>
      <c r="B111" s="53"/>
      <c r="C111" s="53"/>
      <c r="D111" s="30" t="s">
        <v>48</v>
      </c>
      <c r="E111" s="31" t="s">
        <v>17</v>
      </c>
      <c r="F111" s="32">
        <f>180000*0.1/24</f>
        <v>750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35" customFormat="1" x14ac:dyDescent="0.25">
      <c r="A112" s="50"/>
      <c r="B112" s="53"/>
      <c r="C112" s="53"/>
      <c r="D112" s="33" t="s">
        <v>49</v>
      </c>
      <c r="E112" s="9" t="s">
        <v>17</v>
      </c>
      <c r="F112" s="32">
        <f>0.1*140990/24</f>
        <v>587.45833333333337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35" customFormat="1" x14ac:dyDescent="0.25">
      <c r="A113" s="50"/>
      <c r="B113" s="53"/>
      <c r="C113" s="53"/>
      <c r="D113" s="30" t="s">
        <v>50</v>
      </c>
      <c r="E113" s="31" t="s">
        <v>51</v>
      </c>
      <c r="F113" s="17">
        <f>70*0.1</f>
        <v>7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35" customFormat="1" x14ac:dyDescent="0.25">
      <c r="A114" s="50"/>
      <c r="B114" s="53"/>
      <c r="C114" s="53"/>
      <c r="D114" s="33" t="s">
        <v>52</v>
      </c>
      <c r="E114" s="34" t="s">
        <v>17</v>
      </c>
      <c r="F114" s="17">
        <f>0.1*(21500+3200+1150000)/24</f>
        <v>4894.583333333333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35" customFormat="1" ht="26.25" x14ac:dyDescent="0.25">
      <c r="A115" s="50"/>
      <c r="B115" s="53"/>
      <c r="C115" s="53"/>
      <c r="D115" s="30" t="s">
        <v>53</v>
      </c>
      <c r="E115" s="12" t="s">
        <v>17</v>
      </c>
      <c r="F115" s="32">
        <f>5000*0.1/24</f>
        <v>20.833333333333332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35" customFormat="1" x14ac:dyDescent="0.25">
      <c r="A116" s="51"/>
      <c r="B116" s="54"/>
      <c r="C116" s="54"/>
      <c r="D116" s="30" t="s">
        <v>34</v>
      </c>
      <c r="E116" s="12" t="s">
        <v>17</v>
      </c>
      <c r="F116" s="32">
        <f>(5000+37048+20116)*0.07/24</f>
        <v>181.3116666666667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35" customFormat="1" ht="18" customHeight="1" x14ac:dyDescent="0.25">
      <c r="A117" s="49" t="s">
        <v>77</v>
      </c>
      <c r="B117" s="58" t="s">
        <v>58</v>
      </c>
      <c r="C117" s="52" t="s">
        <v>11</v>
      </c>
      <c r="D117" s="55" t="s">
        <v>12</v>
      </c>
      <c r="E117" s="56"/>
      <c r="F117" s="5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35" customFormat="1" x14ac:dyDescent="0.25">
      <c r="A118" s="50"/>
      <c r="B118" s="59"/>
      <c r="C118" s="53"/>
      <c r="D118" s="48" t="s">
        <v>13</v>
      </c>
      <c r="E118" s="48"/>
      <c r="F118" s="4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35" customFormat="1" x14ac:dyDescent="0.25">
      <c r="A119" s="50"/>
      <c r="B119" s="59"/>
      <c r="C119" s="53"/>
      <c r="D119" s="11" t="s">
        <v>14</v>
      </c>
      <c r="E119" s="12" t="s">
        <v>15</v>
      </c>
      <c r="F119" s="13" t="s">
        <v>59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35" customFormat="1" x14ac:dyDescent="0.25">
      <c r="A120" s="50"/>
      <c r="B120" s="59"/>
      <c r="C120" s="53"/>
      <c r="D120" s="14" t="s">
        <v>16</v>
      </c>
      <c r="E120" s="15" t="s">
        <v>17</v>
      </c>
      <c r="F120" s="13" t="s">
        <v>59</v>
      </c>
      <c r="G120" s="6"/>
      <c r="H120" s="6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35" customFormat="1" x14ac:dyDescent="0.25">
      <c r="A121" s="50"/>
      <c r="B121" s="59"/>
      <c r="C121" s="53"/>
      <c r="D121" s="16" t="s">
        <v>18</v>
      </c>
      <c r="E121" s="15" t="s">
        <v>17</v>
      </c>
      <c r="F121" s="17" t="s">
        <v>59</v>
      </c>
      <c r="G121"/>
      <c r="H121" s="6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35" customFormat="1" x14ac:dyDescent="0.25">
      <c r="A122" s="50"/>
      <c r="B122" s="59"/>
      <c r="C122" s="53"/>
      <c r="D122" s="55" t="s">
        <v>19</v>
      </c>
      <c r="E122" s="56"/>
      <c r="F122" s="57"/>
      <c r="G122"/>
      <c r="H122" s="6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35" customFormat="1" x14ac:dyDescent="0.25">
      <c r="A123" s="50"/>
      <c r="B123" s="59"/>
      <c r="C123" s="53"/>
      <c r="D123" s="55" t="s">
        <v>20</v>
      </c>
      <c r="E123" s="56"/>
      <c r="F123" s="57"/>
      <c r="G123"/>
      <c r="H123" s="6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35" customFormat="1" x14ac:dyDescent="0.25">
      <c r="A124" s="50"/>
      <c r="B124" s="59"/>
      <c r="C124" s="53"/>
      <c r="D124" s="18" t="s">
        <v>21</v>
      </c>
      <c r="E124" s="19" t="s">
        <v>22</v>
      </c>
      <c r="F124" s="20">
        <f>900000*0.42/236</f>
        <v>1601.6949152542372</v>
      </c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35" customFormat="1" x14ac:dyDescent="0.25">
      <c r="A125" s="50"/>
      <c r="B125" s="59"/>
      <c r="C125" s="53"/>
      <c r="D125" s="18" t="s">
        <v>23</v>
      </c>
      <c r="E125" s="19" t="s">
        <v>24</v>
      </c>
      <c r="F125" s="20">
        <f>1700000*0.42/236</f>
        <v>3025.4237288135591</v>
      </c>
      <c r="G125"/>
      <c r="H125" s="6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35" customFormat="1" x14ac:dyDescent="0.25">
      <c r="A126" s="50"/>
      <c r="B126" s="59"/>
      <c r="C126" s="53"/>
      <c r="D126" s="18" t="s">
        <v>25</v>
      </c>
      <c r="E126" s="19">
        <v>1596</v>
      </c>
      <c r="F126" s="20">
        <f>84927*0.42/236</f>
        <v>151.14127118644066</v>
      </c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35" customFormat="1" ht="31.5" customHeight="1" x14ac:dyDescent="0.25">
      <c r="A127" s="50"/>
      <c r="B127" s="59"/>
      <c r="C127" s="53"/>
      <c r="D127" s="55" t="s">
        <v>27</v>
      </c>
      <c r="E127" s="56"/>
      <c r="F127" s="57"/>
      <c r="G127"/>
      <c r="H127" s="6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35" customFormat="1" x14ac:dyDescent="0.25">
      <c r="A128" s="50"/>
      <c r="B128" s="59"/>
      <c r="C128" s="53"/>
      <c r="D128" s="21" t="s">
        <v>28</v>
      </c>
      <c r="E128" s="22" t="s">
        <v>29</v>
      </c>
      <c r="F128" s="23">
        <f>25000*0.09/236</f>
        <v>9.5338983050847457</v>
      </c>
      <c r="G128" s="6"/>
      <c r="H128" s="6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35" customFormat="1" x14ac:dyDescent="0.25">
      <c r="A129" s="50"/>
      <c r="B129" s="59"/>
      <c r="C129" s="53"/>
      <c r="D129" s="21" t="s">
        <v>30</v>
      </c>
      <c r="E129" s="22" t="s">
        <v>29</v>
      </c>
      <c r="F129" s="23">
        <f>(28800+1000+38276)*0.09/236</f>
        <v>25.961186440677967</v>
      </c>
      <c r="G129" s="6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35" customFormat="1" x14ac:dyDescent="0.25">
      <c r="A130" s="50"/>
      <c r="B130" s="59"/>
      <c r="C130" s="53"/>
      <c r="D130" s="24" t="s">
        <v>60</v>
      </c>
      <c r="E130" s="7" t="s">
        <v>61</v>
      </c>
      <c r="F130" s="8" t="s">
        <v>59</v>
      </c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35" customFormat="1" x14ac:dyDescent="0.25">
      <c r="A131" s="50"/>
      <c r="B131" s="59"/>
      <c r="C131" s="53"/>
      <c r="D131" s="24" t="s">
        <v>32</v>
      </c>
      <c r="E131" s="22" t="s">
        <v>29</v>
      </c>
      <c r="F131" s="8" t="s">
        <v>59</v>
      </c>
      <c r="G131"/>
      <c r="H131" s="6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35" customFormat="1" ht="39" x14ac:dyDescent="0.25">
      <c r="A132" s="50"/>
      <c r="B132" s="59"/>
      <c r="C132" s="53"/>
      <c r="D132" s="25" t="s">
        <v>33</v>
      </c>
      <c r="E132" s="22" t="s">
        <v>29</v>
      </c>
      <c r="F132" s="8" t="s">
        <v>59</v>
      </c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35" customFormat="1" x14ac:dyDescent="0.25">
      <c r="A133" s="50"/>
      <c r="B133" s="59"/>
      <c r="C133" s="53"/>
      <c r="D133" s="24" t="s">
        <v>34</v>
      </c>
      <c r="E133" s="22" t="s">
        <v>29</v>
      </c>
      <c r="F133" s="8" t="s">
        <v>59</v>
      </c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35" customFormat="1" x14ac:dyDescent="0.25">
      <c r="A134" s="50"/>
      <c r="B134" s="59"/>
      <c r="C134" s="53"/>
      <c r="D134" s="24" t="s">
        <v>35</v>
      </c>
      <c r="E134" s="22" t="s">
        <v>29</v>
      </c>
      <c r="F134" s="8" t="s">
        <v>59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35" customFormat="1" ht="26.25" x14ac:dyDescent="0.25">
      <c r="A135" s="50"/>
      <c r="B135" s="59"/>
      <c r="C135" s="53"/>
      <c r="D135" s="25" t="s">
        <v>62</v>
      </c>
      <c r="E135" s="22" t="s">
        <v>29</v>
      </c>
      <c r="F135" s="8" t="s">
        <v>59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35" customFormat="1" ht="31.5" customHeight="1" x14ac:dyDescent="0.25">
      <c r="A136" s="50"/>
      <c r="B136" s="59"/>
      <c r="C136" s="53"/>
      <c r="D136" s="55" t="s">
        <v>37</v>
      </c>
      <c r="E136" s="56"/>
      <c r="F136" s="57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35" customFormat="1" x14ac:dyDescent="0.25">
      <c r="A137" s="50"/>
      <c r="B137" s="59"/>
      <c r="C137" s="53"/>
      <c r="D137" s="24" t="s">
        <v>38</v>
      </c>
      <c r="E137" s="26" t="s">
        <v>39</v>
      </c>
      <c r="F137" s="8" t="s">
        <v>59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35" customFormat="1" x14ac:dyDescent="0.25">
      <c r="A138" s="50"/>
      <c r="B138" s="59"/>
      <c r="C138" s="53"/>
      <c r="D138" s="55" t="s">
        <v>40</v>
      </c>
      <c r="E138" s="56"/>
      <c r="F138" s="57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35" customFormat="1" x14ac:dyDescent="0.25">
      <c r="A139" s="50"/>
      <c r="B139" s="59"/>
      <c r="C139" s="53"/>
      <c r="D139" s="27" t="s">
        <v>41</v>
      </c>
      <c r="E139" s="28" t="s">
        <v>42</v>
      </c>
      <c r="F139" s="8" t="s">
        <v>59</v>
      </c>
      <c r="G139"/>
      <c r="H139" s="6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35" customFormat="1" ht="33.75" customHeight="1" x14ac:dyDescent="0.25">
      <c r="A140" s="50"/>
      <c r="B140" s="59"/>
      <c r="C140" s="53"/>
      <c r="D140" s="48" t="s">
        <v>43</v>
      </c>
      <c r="E140" s="48"/>
      <c r="F140" s="48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35" customFormat="1" ht="26.25" x14ac:dyDescent="0.25">
      <c r="A141" s="50"/>
      <c r="B141" s="59"/>
      <c r="C141" s="53"/>
      <c r="D141" s="29" t="s">
        <v>44</v>
      </c>
      <c r="E141" s="22" t="s">
        <v>15</v>
      </c>
      <c r="F141" s="8">
        <v>18.899999999999999</v>
      </c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35" customFormat="1" x14ac:dyDescent="0.25">
      <c r="A142" s="50"/>
      <c r="B142" s="59"/>
      <c r="C142" s="53"/>
      <c r="D142" s="14" t="s">
        <v>16</v>
      </c>
      <c r="E142" s="15" t="s">
        <v>17</v>
      </c>
      <c r="F142" s="17">
        <f>6510100*0.42/236</f>
        <v>11585.771186440677</v>
      </c>
      <c r="G142"/>
      <c r="H142" s="6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35" customFormat="1" x14ac:dyDescent="0.25">
      <c r="A143" s="50"/>
      <c r="B143" s="59"/>
      <c r="C143" s="53"/>
      <c r="D143" s="16" t="s">
        <v>18</v>
      </c>
      <c r="E143" s="15" t="s">
        <v>17</v>
      </c>
      <c r="F143" s="17">
        <f>F142*30.2%</f>
        <v>3498.9028983050844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35" customFormat="1" x14ac:dyDescent="0.25">
      <c r="A144" s="50"/>
      <c r="B144" s="59"/>
      <c r="C144" s="53"/>
      <c r="D144" s="48" t="s">
        <v>45</v>
      </c>
      <c r="E144" s="48"/>
      <c r="F144" s="48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35" customFormat="1" x14ac:dyDescent="0.25">
      <c r="A145" s="50"/>
      <c r="B145" s="59"/>
      <c r="C145" s="53"/>
      <c r="D145" s="30" t="s">
        <v>46</v>
      </c>
      <c r="E145" s="31" t="s">
        <v>17</v>
      </c>
      <c r="F145" s="32" t="s">
        <v>59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35" customFormat="1" x14ac:dyDescent="0.25">
      <c r="A146" s="50"/>
      <c r="B146" s="59"/>
      <c r="C146" s="53"/>
      <c r="D146" s="30" t="s">
        <v>47</v>
      </c>
      <c r="E146" s="31" t="s">
        <v>17</v>
      </c>
      <c r="F146" s="32" t="s">
        <v>59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35" customFormat="1" ht="26.25" x14ac:dyDescent="0.25">
      <c r="A147" s="50"/>
      <c r="B147" s="59"/>
      <c r="C147" s="53"/>
      <c r="D147" s="30" t="s">
        <v>63</v>
      </c>
      <c r="E147" s="31" t="s">
        <v>17</v>
      </c>
      <c r="F147" s="32" t="s">
        <v>59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35" customFormat="1" ht="39" x14ac:dyDescent="0.25">
      <c r="A148" s="50"/>
      <c r="B148" s="59"/>
      <c r="C148" s="53"/>
      <c r="D148" s="30" t="s">
        <v>64</v>
      </c>
      <c r="E148" s="31" t="s">
        <v>17</v>
      </c>
      <c r="F148" s="32" t="s">
        <v>59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35" customFormat="1" x14ac:dyDescent="0.25">
      <c r="A149" s="50"/>
      <c r="B149" s="59"/>
      <c r="C149" s="53"/>
      <c r="D149" s="30" t="s">
        <v>65</v>
      </c>
      <c r="E149" s="12" t="s">
        <v>17</v>
      </c>
      <c r="F149" s="32">
        <f>1272300*0.44/236</f>
        <v>2372.0847457627119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35" customFormat="1" ht="26.25" x14ac:dyDescent="0.25">
      <c r="A150" s="50"/>
      <c r="B150" s="59"/>
      <c r="C150" s="53"/>
      <c r="D150" s="30" t="s">
        <v>53</v>
      </c>
      <c r="E150" s="12" t="s">
        <v>17</v>
      </c>
      <c r="F150" s="32" t="s">
        <v>59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35" customFormat="1" x14ac:dyDescent="0.25">
      <c r="A151" s="51"/>
      <c r="B151" s="60"/>
      <c r="C151" s="54"/>
      <c r="D151" s="30" t="s">
        <v>34</v>
      </c>
      <c r="E151" s="12" t="s">
        <v>17</v>
      </c>
      <c r="F151" s="32">
        <f>37048*0.09/236</f>
        <v>14.128474576271186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35" customFormat="1" x14ac:dyDescent="0.25">
      <c r="A152" s="49" t="s">
        <v>76</v>
      </c>
      <c r="B152" s="58" t="s">
        <v>66</v>
      </c>
      <c r="C152" s="52" t="s">
        <v>11</v>
      </c>
      <c r="D152" s="55" t="s">
        <v>12</v>
      </c>
      <c r="E152" s="56"/>
      <c r="F152" s="57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35" customFormat="1" x14ac:dyDescent="0.25">
      <c r="A153" s="50"/>
      <c r="B153" s="59"/>
      <c r="C153" s="53"/>
      <c r="D153" s="48" t="s">
        <v>13</v>
      </c>
      <c r="E153" s="48"/>
      <c r="F153" s="48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35" customFormat="1" x14ac:dyDescent="0.25">
      <c r="A154" s="50"/>
      <c r="B154" s="59"/>
      <c r="C154" s="53"/>
      <c r="D154" s="11" t="s">
        <v>14</v>
      </c>
      <c r="E154" s="12" t="s">
        <v>15</v>
      </c>
      <c r="F154" s="13" t="s">
        <v>59</v>
      </c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35" customFormat="1" x14ac:dyDescent="0.25">
      <c r="A155" s="50"/>
      <c r="B155" s="59"/>
      <c r="C155" s="53"/>
      <c r="D155" s="14" t="s">
        <v>16</v>
      </c>
      <c r="E155" s="15" t="s">
        <v>17</v>
      </c>
      <c r="F155" s="13" t="s">
        <v>59</v>
      </c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35" customFormat="1" x14ac:dyDescent="0.25">
      <c r="A156" s="50"/>
      <c r="B156" s="59"/>
      <c r="C156" s="53"/>
      <c r="D156" s="16" t="s">
        <v>18</v>
      </c>
      <c r="E156" s="15" t="s">
        <v>17</v>
      </c>
      <c r="F156" s="17" t="s">
        <v>59</v>
      </c>
      <c r="G156" s="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35" customFormat="1" ht="15" customHeight="1" x14ac:dyDescent="0.25">
      <c r="A157" s="50"/>
      <c r="B157" s="59"/>
      <c r="C157" s="53"/>
      <c r="D157" s="55" t="s">
        <v>19</v>
      </c>
      <c r="E157" s="56"/>
      <c r="F157" s="57"/>
      <c r="G157"/>
      <c r="H157" s="6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35" customFormat="1" x14ac:dyDescent="0.25">
      <c r="A158" s="50"/>
      <c r="B158" s="59"/>
      <c r="C158" s="53"/>
      <c r="D158" s="55" t="s">
        <v>20</v>
      </c>
      <c r="E158" s="56"/>
      <c r="F158" s="57"/>
      <c r="G158"/>
      <c r="H158" s="6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35" customFormat="1" x14ac:dyDescent="0.25">
      <c r="A159" s="50"/>
      <c r="B159" s="59"/>
      <c r="C159" s="53"/>
      <c r="D159" s="18" t="s">
        <v>21</v>
      </c>
      <c r="E159" s="19" t="s">
        <v>22</v>
      </c>
      <c r="F159" s="20">
        <f>900000*0.15/86</f>
        <v>1569.7674418604652</v>
      </c>
      <c r="G159"/>
      <c r="H159" s="6"/>
      <c r="I159"/>
      <c r="J159"/>
      <c r="K159"/>
      <c r="L159"/>
      <c r="M159" s="6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35" customFormat="1" x14ac:dyDescent="0.25">
      <c r="A160" s="50"/>
      <c r="B160" s="59"/>
      <c r="C160" s="53"/>
      <c r="D160" s="18" t="s">
        <v>23</v>
      </c>
      <c r="E160" s="19" t="s">
        <v>24</v>
      </c>
      <c r="F160" s="20">
        <f>1700000*0.15/86</f>
        <v>2965.1162790697676</v>
      </c>
      <c r="G160"/>
      <c r="H160" s="6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35" customFormat="1" x14ac:dyDescent="0.25">
      <c r="A161" s="50"/>
      <c r="B161" s="59"/>
      <c r="C161" s="53"/>
      <c r="D161" s="18" t="s">
        <v>25</v>
      </c>
      <c r="E161" s="19">
        <v>1596</v>
      </c>
      <c r="F161" s="20">
        <f>84927*0.15/86</f>
        <v>148.12848837209302</v>
      </c>
      <c r="G161"/>
      <c r="H161" s="6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35" customFormat="1" ht="25.5" customHeight="1" x14ac:dyDescent="0.25">
      <c r="A162" s="50"/>
      <c r="B162" s="59"/>
      <c r="C162" s="53"/>
      <c r="D162" s="55" t="s">
        <v>27</v>
      </c>
      <c r="E162" s="56"/>
      <c r="F162" s="57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35" customFormat="1" x14ac:dyDescent="0.25">
      <c r="A163" s="50"/>
      <c r="B163" s="59"/>
      <c r="C163" s="53"/>
      <c r="D163" s="21" t="s">
        <v>28</v>
      </c>
      <c r="E163" s="22" t="s">
        <v>29</v>
      </c>
      <c r="F163" s="23">
        <f>25000*0.12/86</f>
        <v>34.883720930232556</v>
      </c>
      <c r="G163" s="6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35" customFormat="1" x14ac:dyDescent="0.25">
      <c r="A164" s="50"/>
      <c r="B164" s="59"/>
      <c r="C164" s="53"/>
      <c r="D164" s="21" t="s">
        <v>30</v>
      </c>
      <c r="E164" s="22" t="s">
        <v>29</v>
      </c>
      <c r="F164" s="23">
        <f>(28800+1000+38276)*0.12/86</f>
        <v>94.989767441860465</v>
      </c>
      <c r="G164" s="6"/>
      <c r="H164" s="6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35" customFormat="1" x14ac:dyDescent="0.25">
      <c r="A165" s="50"/>
      <c r="B165" s="59"/>
      <c r="C165" s="53"/>
      <c r="D165" s="24" t="s">
        <v>60</v>
      </c>
      <c r="E165" s="7" t="s">
        <v>61</v>
      </c>
      <c r="F165" s="8" t="s">
        <v>59</v>
      </c>
      <c r="G165"/>
      <c r="H165" s="6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35" customFormat="1" x14ac:dyDescent="0.25">
      <c r="A166" s="50"/>
      <c r="B166" s="59"/>
      <c r="C166" s="53"/>
      <c r="D166" s="24" t="s">
        <v>32</v>
      </c>
      <c r="E166" s="22" t="s">
        <v>29</v>
      </c>
      <c r="F166" s="8" t="s">
        <v>59</v>
      </c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35" customFormat="1" ht="39" x14ac:dyDescent="0.25">
      <c r="A167" s="50"/>
      <c r="B167" s="59"/>
      <c r="C167" s="53"/>
      <c r="D167" s="25" t="s">
        <v>33</v>
      </c>
      <c r="E167" s="22" t="s">
        <v>29</v>
      </c>
      <c r="F167" s="8" t="s">
        <v>59</v>
      </c>
      <c r="G167"/>
      <c r="H167" s="6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35" customFormat="1" x14ac:dyDescent="0.25">
      <c r="A168" s="50"/>
      <c r="B168" s="59"/>
      <c r="C168" s="53"/>
      <c r="D168" s="24" t="s">
        <v>34</v>
      </c>
      <c r="E168" s="22" t="s">
        <v>29</v>
      </c>
      <c r="F168" s="8" t="s">
        <v>59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35" customFormat="1" x14ac:dyDescent="0.25">
      <c r="A169" s="50"/>
      <c r="B169" s="59"/>
      <c r="C169" s="53"/>
      <c r="D169" s="24" t="s">
        <v>35</v>
      </c>
      <c r="E169" s="22" t="s">
        <v>29</v>
      </c>
      <c r="F169" s="8" t="s">
        <v>59</v>
      </c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35" customFormat="1" ht="26.25" x14ac:dyDescent="0.25">
      <c r="A170" s="50"/>
      <c r="B170" s="59"/>
      <c r="C170" s="53"/>
      <c r="D170" s="25" t="s">
        <v>62</v>
      </c>
      <c r="E170" s="22" t="s">
        <v>29</v>
      </c>
      <c r="F170" s="8" t="s">
        <v>59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35" customFormat="1" ht="24" customHeight="1" x14ac:dyDescent="0.25">
      <c r="A171" s="50"/>
      <c r="B171" s="59"/>
      <c r="C171" s="53"/>
      <c r="D171" s="55" t="s">
        <v>37</v>
      </c>
      <c r="E171" s="56"/>
      <c r="F171" s="57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35" customFormat="1" x14ac:dyDescent="0.25">
      <c r="A172" s="50"/>
      <c r="B172" s="59"/>
      <c r="C172" s="53"/>
      <c r="D172" s="24" t="s">
        <v>38</v>
      </c>
      <c r="E172" s="26" t="s">
        <v>39</v>
      </c>
      <c r="F172" s="8" t="s">
        <v>59</v>
      </c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35" customFormat="1" x14ac:dyDescent="0.25">
      <c r="A173" s="50"/>
      <c r="B173" s="59"/>
      <c r="C173" s="53"/>
      <c r="D173" s="55" t="s">
        <v>40</v>
      </c>
      <c r="E173" s="56"/>
      <c r="F173" s="57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35" customFormat="1" x14ac:dyDescent="0.25">
      <c r="A174" s="50"/>
      <c r="B174" s="59"/>
      <c r="C174" s="53"/>
      <c r="D174" s="27" t="s">
        <v>41</v>
      </c>
      <c r="E174" s="28" t="s">
        <v>42</v>
      </c>
      <c r="F174" s="8" t="s">
        <v>59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35" customFormat="1" ht="22.5" customHeight="1" x14ac:dyDescent="0.25">
      <c r="A175" s="50"/>
      <c r="B175" s="59"/>
      <c r="C175" s="53"/>
      <c r="D175" s="48" t="s">
        <v>43</v>
      </c>
      <c r="E175" s="48"/>
      <c r="F175" s="48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35" customFormat="1" ht="26.25" x14ac:dyDescent="0.25">
      <c r="A176" s="50"/>
      <c r="B176" s="59"/>
      <c r="C176" s="53"/>
      <c r="D176" s="29" t="s">
        <v>44</v>
      </c>
      <c r="E176" s="22" t="s">
        <v>15</v>
      </c>
      <c r="F176" s="8">
        <v>18.899999999999999</v>
      </c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35" customFormat="1" x14ac:dyDescent="0.25">
      <c r="A177" s="50"/>
      <c r="B177" s="59"/>
      <c r="C177" s="53"/>
      <c r="D177" s="14" t="s">
        <v>16</v>
      </c>
      <c r="E177" s="15" t="s">
        <v>17</v>
      </c>
      <c r="F177" s="17">
        <f>6510100*0.15/86</f>
        <v>11354.825581395349</v>
      </c>
      <c r="G177"/>
      <c r="H177" s="6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35" customFormat="1" x14ac:dyDescent="0.25">
      <c r="A178" s="50"/>
      <c r="B178" s="59"/>
      <c r="C178" s="53"/>
      <c r="D178" s="16" t="s">
        <v>18</v>
      </c>
      <c r="E178" s="15" t="s">
        <v>17</v>
      </c>
      <c r="F178" s="17">
        <f>F177*30.2%</f>
        <v>3429.1573255813955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35" customFormat="1" x14ac:dyDescent="0.25">
      <c r="A179" s="50"/>
      <c r="B179" s="59"/>
      <c r="C179" s="53"/>
      <c r="D179" s="48" t="s">
        <v>45</v>
      </c>
      <c r="E179" s="48"/>
      <c r="F179" s="48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35" customFormat="1" x14ac:dyDescent="0.25">
      <c r="A180" s="50"/>
      <c r="B180" s="59"/>
      <c r="C180" s="53"/>
      <c r="D180" s="30" t="s">
        <v>46</v>
      </c>
      <c r="E180" s="31" t="s">
        <v>17</v>
      </c>
      <c r="F180" s="32" t="s">
        <v>59</v>
      </c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35" customFormat="1" x14ac:dyDescent="0.25">
      <c r="A181" s="50"/>
      <c r="B181" s="59"/>
      <c r="C181" s="53"/>
      <c r="D181" s="30" t="s">
        <v>47</v>
      </c>
      <c r="E181" s="31" t="s">
        <v>17</v>
      </c>
      <c r="F181" s="32" t="s">
        <v>59</v>
      </c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35" customFormat="1" ht="26.25" x14ac:dyDescent="0.25">
      <c r="A182" s="50"/>
      <c r="B182" s="59"/>
      <c r="C182" s="53"/>
      <c r="D182" s="30" t="s">
        <v>63</v>
      </c>
      <c r="E182" s="31" t="s">
        <v>17</v>
      </c>
      <c r="F182" s="32" t="s">
        <v>59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35" customFormat="1" ht="39" x14ac:dyDescent="0.25">
      <c r="A183" s="50"/>
      <c r="B183" s="59"/>
      <c r="C183" s="53"/>
      <c r="D183" s="30" t="s">
        <v>64</v>
      </c>
      <c r="E183" s="31" t="s">
        <v>17</v>
      </c>
      <c r="F183" s="32" t="s">
        <v>59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35" customFormat="1" x14ac:dyDescent="0.25">
      <c r="A184" s="50"/>
      <c r="B184" s="59"/>
      <c r="C184" s="53"/>
      <c r="D184" s="30" t="s">
        <v>65</v>
      </c>
      <c r="E184" s="12" t="s">
        <v>17</v>
      </c>
      <c r="F184" s="32">
        <f>1272300*0.46/86</f>
        <v>6805.3255813953492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35" customFormat="1" ht="26.25" x14ac:dyDescent="0.25">
      <c r="A185" s="50"/>
      <c r="B185" s="59"/>
      <c r="C185" s="53"/>
      <c r="D185" s="30" t="s">
        <v>53</v>
      </c>
      <c r="E185" s="12" t="s">
        <v>17</v>
      </c>
      <c r="F185" s="32" t="s">
        <v>59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35" customFormat="1" x14ac:dyDescent="0.25">
      <c r="A186" s="51"/>
      <c r="B186" s="60"/>
      <c r="C186" s="54"/>
      <c r="D186" s="30" t="s">
        <v>34</v>
      </c>
      <c r="E186" s="12" t="s">
        <v>17</v>
      </c>
      <c r="F186" s="32">
        <f>37048*0.12/86</f>
        <v>51.694883720930235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35" customFormat="1" ht="30.75" customHeight="1" x14ac:dyDescent="0.25">
      <c r="A187" s="49" t="s">
        <v>67</v>
      </c>
      <c r="B187" s="52" t="s">
        <v>68</v>
      </c>
      <c r="C187" s="52" t="s">
        <v>11</v>
      </c>
      <c r="D187" s="55" t="s">
        <v>12</v>
      </c>
      <c r="E187" s="56"/>
      <c r="F187" s="5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35" customFormat="1" x14ac:dyDescent="0.25">
      <c r="A188" s="50"/>
      <c r="B188" s="53"/>
      <c r="C188" s="53"/>
      <c r="D188" s="48" t="s">
        <v>13</v>
      </c>
      <c r="E188" s="48"/>
      <c r="F188" s="4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35" customFormat="1" x14ac:dyDescent="0.25">
      <c r="A189" s="50"/>
      <c r="B189" s="53"/>
      <c r="C189" s="53"/>
      <c r="D189" s="11" t="s">
        <v>69</v>
      </c>
      <c r="E189" s="12" t="s">
        <v>15</v>
      </c>
      <c r="F189" s="13">
        <f>46.9</f>
        <v>46.9</v>
      </c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35" customFormat="1" x14ac:dyDescent="0.25">
      <c r="A190" s="50"/>
      <c r="B190" s="53"/>
      <c r="C190" s="53"/>
      <c r="D190" s="14" t="s">
        <v>16</v>
      </c>
      <c r="E190" s="15" t="s">
        <v>17</v>
      </c>
      <c r="F190" s="47">
        <v>4882.41</v>
      </c>
      <c r="G190" s="6"/>
      <c r="H190" s="6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35" customFormat="1" x14ac:dyDescent="0.25">
      <c r="A191" s="50"/>
      <c r="B191" s="53"/>
      <c r="C191" s="53"/>
      <c r="D191" s="16" t="s">
        <v>18</v>
      </c>
      <c r="E191" s="15" t="s">
        <v>17</v>
      </c>
      <c r="F191" s="17">
        <f>F190*30.2%</f>
        <v>1474.4878199999998</v>
      </c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35" customFormat="1" x14ac:dyDescent="0.25">
      <c r="A192" s="50"/>
      <c r="B192" s="53"/>
      <c r="C192" s="53"/>
      <c r="D192" s="55" t="s">
        <v>19</v>
      </c>
      <c r="E192" s="56"/>
      <c r="F192" s="57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35" customFormat="1" x14ac:dyDescent="0.25">
      <c r="A193" s="50"/>
      <c r="B193" s="53"/>
      <c r="C193" s="53"/>
      <c r="D193" s="55" t="s">
        <v>20</v>
      </c>
      <c r="E193" s="56"/>
      <c r="F193" s="57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35" customFormat="1" x14ac:dyDescent="0.25">
      <c r="A194" s="50"/>
      <c r="B194" s="53"/>
      <c r="C194" s="53"/>
      <c r="D194" s="18" t="s">
        <v>21</v>
      </c>
      <c r="E194" s="19" t="s">
        <v>22</v>
      </c>
      <c r="F194" s="20" t="s">
        <v>59</v>
      </c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35" customFormat="1" x14ac:dyDescent="0.25">
      <c r="A195" s="50"/>
      <c r="B195" s="53"/>
      <c r="C195" s="53"/>
      <c r="D195" s="18" t="s">
        <v>23</v>
      </c>
      <c r="E195" s="19" t="s">
        <v>24</v>
      </c>
      <c r="F195" s="20" t="s">
        <v>59</v>
      </c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35" customFormat="1" ht="15.75" x14ac:dyDescent="0.25">
      <c r="A196" s="50"/>
      <c r="B196" s="53"/>
      <c r="C196" s="53"/>
      <c r="D196" s="18" t="s">
        <v>25</v>
      </c>
      <c r="E196" s="19" t="s">
        <v>26</v>
      </c>
      <c r="F196" s="20" t="s">
        <v>59</v>
      </c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35" customFormat="1" ht="37.5" customHeight="1" x14ac:dyDescent="0.25">
      <c r="A197" s="50"/>
      <c r="B197" s="53"/>
      <c r="C197" s="53"/>
      <c r="D197" s="55" t="s">
        <v>27</v>
      </c>
      <c r="E197" s="56"/>
      <c r="F197" s="57"/>
      <c r="G197"/>
      <c r="H197" s="6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35" customFormat="1" x14ac:dyDescent="0.25">
      <c r="A198" s="50"/>
      <c r="B198" s="53"/>
      <c r="C198" s="53"/>
      <c r="D198" s="21" t="s">
        <v>28</v>
      </c>
      <c r="E198" s="22" t="s">
        <v>29</v>
      </c>
      <c r="F198" s="23" t="s">
        <v>59</v>
      </c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35" customFormat="1" x14ac:dyDescent="0.25">
      <c r="A199" s="50"/>
      <c r="B199" s="53"/>
      <c r="C199" s="53"/>
      <c r="D199" s="21" t="s">
        <v>30</v>
      </c>
      <c r="E199" s="22" t="s">
        <v>29</v>
      </c>
      <c r="F199" s="23" t="s">
        <v>59</v>
      </c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35" customFormat="1" x14ac:dyDescent="0.25">
      <c r="A200" s="50"/>
      <c r="B200" s="53"/>
      <c r="C200" s="53"/>
      <c r="D200" s="24" t="s">
        <v>60</v>
      </c>
      <c r="E200" s="7" t="s">
        <v>61</v>
      </c>
      <c r="F200" s="23" t="s">
        <v>59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35" customFormat="1" x14ac:dyDescent="0.25">
      <c r="A201" s="50"/>
      <c r="B201" s="53"/>
      <c r="C201" s="53"/>
      <c r="D201" s="24" t="s">
        <v>32</v>
      </c>
      <c r="E201" s="22" t="s">
        <v>29</v>
      </c>
      <c r="F201" s="23" t="s">
        <v>59</v>
      </c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35" customFormat="1" ht="39" x14ac:dyDescent="0.25">
      <c r="A202" s="50"/>
      <c r="B202" s="53"/>
      <c r="C202" s="53"/>
      <c r="D202" s="25" t="s">
        <v>33</v>
      </c>
      <c r="E202" s="22" t="s">
        <v>29</v>
      </c>
      <c r="F202" s="23" t="s">
        <v>59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35" customFormat="1" x14ac:dyDescent="0.25">
      <c r="A203" s="50"/>
      <c r="B203" s="53"/>
      <c r="C203" s="53"/>
      <c r="D203" s="24" t="s">
        <v>34</v>
      </c>
      <c r="E203" s="22" t="s">
        <v>29</v>
      </c>
      <c r="F203" s="23" t="s">
        <v>59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35" customFormat="1" x14ac:dyDescent="0.25">
      <c r="A204" s="50"/>
      <c r="B204" s="53"/>
      <c r="C204" s="53"/>
      <c r="D204" s="24" t="s">
        <v>35</v>
      </c>
      <c r="E204" s="22" t="s">
        <v>29</v>
      </c>
      <c r="F204" s="23" t="s">
        <v>59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35" customFormat="1" ht="26.25" x14ac:dyDescent="0.25">
      <c r="A205" s="50"/>
      <c r="B205" s="53"/>
      <c r="C205" s="53"/>
      <c r="D205" s="25" t="s">
        <v>62</v>
      </c>
      <c r="E205" s="22" t="s">
        <v>29</v>
      </c>
      <c r="F205" s="23" t="s">
        <v>59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35" customFormat="1" ht="26.25" customHeight="1" x14ac:dyDescent="0.25">
      <c r="A206" s="50"/>
      <c r="B206" s="53"/>
      <c r="C206" s="53"/>
      <c r="D206" s="55" t="s">
        <v>37</v>
      </c>
      <c r="E206" s="56"/>
      <c r="F206" s="57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35" customFormat="1" x14ac:dyDescent="0.25">
      <c r="A207" s="50"/>
      <c r="B207" s="53"/>
      <c r="C207" s="53"/>
      <c r="D207" s="24" t="s">
        <v>38</v>
      </c>
      <c r="E207" s="26" t="s">
        <v>39</v>
      </c>
      <c r="F207" s="8" t="s">
        <v>59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35" customFormat="1" x14ac:dyDescent="0.25">
      <c r="A208" s="50"/>
      <c r="B208" s="53"/>
      <c r="C208" s="53"/>
      <c r="D208" s="55" t="s">
        <v>40</v>
      </c>
      <c r="E208" s="56"/>
      <c r="F208" s="57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35" customFormat="1" x14ac:dyDescent="0.25">
      <c r="A209" s="50"/>
      <c r="B209" s="53"/>
      <c r="C209" s="53"/>
      <c r="D209" s="27" t="s">
        <v>41</v>
      </c>
      <c r="E209" s="28" t="s">
        <v>42</v>
      </c>
      <c r="F209" s="8" t="s">
        <v>59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35" customFormat="1" ht="26.25" customHeight="1" x14ac:dyDescent="0.25">
      <c r="A210" s="50"/>
      <c r="B210" s="53"/>
      <c r="C210" s="53"/>
      <c r="D210" s="48" t="s">
        <v>43</v>
      </c>
      <c r="E210" s="48"/>
      <c r="F210" s="48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</row>
    <row r="211" spans="1:26" s="35" customFormat="1" ht="26.25" x14ac:dyDescent="0.25">
      <c r="A211" s="50"/>
      <c r="B211" s="53"/>
      <c r="C211" s="53"/>
      <c r="D211" s="29" t="s">
        <v>44</v>
      </c>
      <c r="E211" s="22" t="s">
        <v>15</v>
      </c>
      <c r="F211" s="8" t="s">
        <v>59</v>
      </c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</row>
    <row r="212" spans="1:26" s="35" customFormat="1" x14ac:dyDescent="0.25">
      <c r="A212" s="50"/>
      <c r="B212" s="53"/>
      <c r="C212" s="53"/>
      <c r="D212" s="14" t="s">
        <v>16</v>
      </c>
      <c r="E212" s="15" t="s">
        <v>17</v>
      </c>
      <c r="F212" s="17" t="s">
        <v>59</v>
      </c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</row>
    <row r="213" spans="1:26" s="35" customFormat="1" x14ac:dyDescent="0.25">
      <c r="A213" s="50"/>
      <c r="B213" s="53"/>
      <c r="C213" s="53"/>
      <c r="D213" s="16" t="s">
        <v>18</v>
      </c>
      <c r="E213" s="15" t="s">
        <v>17</v>
      </c>
      <c r="F213" s="17" t="s">
        <v>59</v>
      </c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</row>
    <row r="214" spans="1:26" s="35" customFormat="1" x14ac:dyDescent="0.25">
      <c r="A214" s="50"/>
      <c r="B214" s="53"/>
      <c r="C214" s="53"/>
      <c r="D214" s="48" t="s">
        <v>45</v>
      </c>
      <c r="E214" s="48"/>
      <c r="F214" s="48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</row>
    <row r="215" spans="1:26" s="35" customFormat="1" x14ac:dyDescent="0.25">
      <c r="A215" s="50"/>
      <c r="B215" s="53"/>
      <c r="C215" s="53"/>
      <c r="D215" s="30" t="s">
        <v>46</v>
      </c>
      <c r="E215" s="31" t="s">
        <v>17</v>
      </c>
      <c r="F215" s="32" t="s">
        <v>59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</row>
    <row r="216" spans="1:26" s="35" customFormat="1" x14ac:dyDescent="0.25">
      <c r="A216" s="50"/>
      <c r="B216" s="53"/>
      <c r="C216" s="53"/>
      <c r="D216" s="30" t="s">
        <v>47</v>
      </c>
      <c r="E216" s="31" t="s">
        <v>17</v>
      </c>
      <c r="F216" s="32" t="s">
        <v>59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</row>
    <row r="217" spans="1:26" s="35" customFormat="1" ht="26.25" x14ac:dyDescent="0.25">
      <c r="A217" s="50"/>
      <c r="B217" s="53"/>
      <c r="C217" s="53"/>
      <c r="D217" s="30" t="s">
        <v>63</v>
      </c>
      <c r="E217" s="31" t="s">
        <v>17</v>
      </c>
      <c r="F217" s="32" t="s">
        <v>59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</row>
    <row r="218" spans="1:26" s="35" customFormat="1" ht="39" x14ac:dyDescent="0.25">
      <c r="A218" s="50"/>
      <c r="B218" s="53"/>
      <c r="C218" s="53"/>
      <c r="D218" s="30" t="s">
        <v>64</v>
      </c>
      <c r="E218" s="31" t="s">
        <v>17</v>
      </c>
      <c r="F218" s="32" t="s">
        <v>59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</row>
    <row r="219" spans="1:26" s="35" customFormat="1" x14ac:dyDescent="0.25">
      <c r="A219" s="50"/>
      <c r="B219" s="53"/>
      <c r="C219" s="53"/>
      <c r="D219" s="30" t="s">
        <v>50</v>
      </c>
      <c r="E219" s="31" t="s">
        <v>51</v>
      </c>
      <c r="F219" s="32" t="s">
        <v>59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</row>
    <row r="220" spans="1:26" s="35" customFormat="1" ht="26.25" x14ac:dyDescent="0.25">
      <c r="A220" s="50"/>
      <c r="B220" s="53"/>
      <c r="C220" s="53"/>
      <c r="D220" s="30" t="s">
        <v>53</v>
      </c>
      <c r="E220" s="12" t="s">
        <v>17</v>
      </c>
      <c r="F220" s="32" t="s">
        <v>59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</row>
    <row r="221" spans="1:26" s="35" customFormat="1" x14ac:dyDescent="0.25">
      <c r="A221" s="51"/>
      <c r="B221" s="54"/>
      <c r="C221" s="54"/>
      <c r="D221" s="30" t="s">
        <v>34</v>
      </c>
      <c r="E221" s="12" t="s">
        <v>17</v>
      </c>
      <c r="F221" s="32" t="s">
        <v>59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</row>
    <row r="222" spans="1:26" s="35" customFormat="1" ht="21.75" customHeight="1" x14ac:dyDescent="0.25">
      <c r="A222" s="49" t="s">
        <v>70</v>
      </c>
      <c r="B222" s="52" t="s">
        <v>71</v>
      </c>
      <c r="C222" s="52" t="s">
        <v>11</v>
      </c>
      <c r="D222" s="55" t="s">
        <v>12</v>
      </c>
      <c r="E222" s="56"/>
      <c r="F222" s="57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</row>
    <row r="223" spans="1:26" s="35" customFormat="1" x14ac:dyDescent="0.25">
      <c r="A223" s="50"/>
      <c r="B223" s="53"/>
      <c r="C223" s="53"/>
      <c r="D223" s="48" t="s">
        <v>13</v>
      </c>
      <c r="E223" s="48"/>
      <c r="F223" s="48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</row>
    <row r="224" spans="1:26" s="35" customFormat="1" x14ac:dyDescent="0.25">
      <c r="A224" s="50"/>
      <c r="B224" s="53"/>
      <c r="C224" s="53"/>
      <c r="D224" s="11" t="s">
        <v>69</v>
      </c>
      <c r="E224" s="12" t="s">
        <v>15</v>
      </c>
      <c r="F224" s="13" t="s">
        <v>59</v>
      </c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</row>
    <row r="225" spans="1:23" s="35" customFormat="1" x14ac:dyDescent="0.25">
      <c r="A225" s="50"/>
      <c r="B225" s="53"/>
      <c r="C225" s="53"/>
      <c r="D225" s="14" t="s">
        <v>16</v>
      </c>
      <c r="E225" s="15" t="s">
        <v>17</v>
      </c>
      <c r="F225" s="13" t="s">
        <v>59</v>
      </c>
      <c r="G225" s="6"/>
      <c r="H225" s="6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</row>
    <row r="226" spans="1:23" s="35" customFormat="1" x14ac:dyDescent="0.25">
      <c r="A226" s="50"/>
      <c r="B226" s="53"/>
      <c r="C226" s="53"/>
      <c r="D226" s="16" t="s">
        <v>18</v>
      </c>
      <c r="E226" s="15" t="s">
        <v>17</v>
      </c>
      <c r="F226" s="17" t="s">
        <v>59</v>
      </c>
      <c r="G226" s="6"/>
      <c r="H226" s="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</row>
    <row r="227" spans="1:23" s="35" customFormat="1" x14ac:dyDescent="0.25">
      <c r="A227" s="50"/>
      <c r="B227" s="53"/>
      <c r="C227" s="53"/>
      <c r="D227" s="55" t="s">
        <v>19</v>
      </c>
      <c r="E227" s="56"/>
      <c r="F227" s="57"/>
      <c r="G227" s="6"/>
      <c r="H227" s="6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</row>
    <row r="228" spans="1:23" s="35" customFormat="1" x14ac:dyDescent="0.25">
      <c r="A228" s="50"/>
      <c r="B228" s="53"/>
      <c r="C228" s="53"/>
      <c r="D228" s="55" t="s">
        <v>20</v>
      </c>
      <c r="E228" s="56"/>
      <c r="F228" s="57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</row>
    <row r="229" spans="1:23" s="35" customFormat="1" x14ac:dyDescent="0.25">
      <c r="A229" s="50"/>
      <c r="B229" s="53"/>
      <c r="C229" s="53"/>
      <c r="D229" s="18" t="s">
        <v>21</v>
      </c>
      <c r="E229" s="19" t="s">
        <v>22</v>
      </c>
      <c r="F229" s="20" t="s">
        <v>59</v>
      </c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</row>
    <row r="230" spans="1:23" s="35" customFormat="1" x14ac:dyDescent="0.25">
      <c r="A230" s="50"/>
      <c r="B230" s="53"/>
      <c r="C230" s="53"/>
      <c r="D230" s="18" t="s">
        <v>23</v>
      </c>
      <c r="E230" s="19" t="s">
        <v>24</v>
      </c>
      <c r="F230" s="20" t="s">
        <v>59</v>
      </c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</row>
    <row r="231" spans="1:23" s="35" customFormat="1" ht="15.75" x14ac:dyDescent="0.25">
      <c r="A231" s="50"/>
      <c r="B231" s="53"/>
      <c r="C231" s="53"/>
      <c r="D231" s="18" t="s">
        <v>25</v>
      </c>
      <c r="E231" s="19" t="s">
        <v>26</v>
      </c>
      <c r="F231" s="20" t="s">
        <v>59</v>
      </c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</row>
    <row r="232" spans="1:23" s="35" customFormat="1" ht="30.75" customHeight="1" x14ac:dyDescent="0.25">
      <c r="A232" s="50"/>
      <c r="B232" s="53"/>
      <c r="C232" s="53"/>
      <c r="D232" s="55" t="s">
        <v>27</v>
      </c>
      <c r="E232" s="56"/>
      <c r="F232" s="57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</row>
    <row r="233" spans="1:23" s="35" customFormat="1" x14ac:dyDescent="0.25">
      <c r="A233" s="50"/>
      <c r="B233" s="53"/>
      <c r="C233" s="53"/>
      <c r="D233" s="21" t="s">
        <v>28</v>
      </c>
      <c r="E233" s="22" t="s">
        <v>29</v>
      </c>
      <c r="F233" s="23" t="s">
        <v>59</v>
      </c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</row>
    <row r="234" spans="1:23" s="35" customFormat="1" x14ac:dyDescent="0.25">
      <c r="A234" s="50"/>
      <c r="B234" s="53"/>
      <c r="C234" s="53"/>
      <c r="D234" s="21" t="s">
        <v>30</v>
      </c>
      <c r="E234" s="22" t="s">
        <v>29</v>
      </c>
      <c r="F234" s="23" t="s">
        <v>59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</row>
    <row r="235" spans="1:23" s="35" customFormat="1" x14ac:dyDescent="0.25">
      <c r="A235" s="50"/>
      <c r="B235" s="53"/>
      <c r="C235" s="53"/>
      <c r="D235" s="24" t="s">
        <v>60</v>
      </c>
      <c r="E235" s="7" t="s">
        <v>61</v>
      </c>
      <c r="F235" s="23" t="s">
        <v>59</v>
      </c>
      <c r="G235"/>
      <c r="H235" s="6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</row>
    <row r="236" spans="1:23" s="35" customFormat="1" x14ac:dyDescent="0.25">
      <c r="A236" s="50"/>
      <c r="B236" s="53"/>
      <c r="C236" s="53"/>
      <c r="D236" s="24" t="s">
        <v>32</v>
      </c>
      <c r="E236" s="22" t="s">
        <v>29</v>
      </c>
      <c r="F236" s="23" t="s">
        <v>59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</row>
    <row r="237" spans="1:23" s="35" customFormat="1" ht="39" x14ac:dyDescent="0.25">
      <c r="A237" s="50"/>
      <c r="B237" s="53"/>
      <c r="C237" s="53"/>
      <c r="D237" s="25" t="s">
        <v>33</v>
      </c>
      <c r="E237" s="22" t="s">
        <v>29</v>
      </c>
      <c r="F237" s="23" t="s">
        <v>59</v>
      </c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</row>
    <row r="238" spans="1:23" s="35" customFormat="1" x14ac:dyDescent="0.25">
      <c r="A238" s="50"/>
      <c r="B238" s="53"/>
      <c r="C238" s="53"/>
      <c r="D238" s="24" t="s">
        <v>34</v>
      </c>
      <c r="E238" s="22" t="s">
        <v>29</v>
      </c>
      <c r="F238" s="23" t="s">
        <v>59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</row>
    <row r="239" spans="1:23" s="35" customFormat="1" x14ac:dyDescent="0.25">
      <c r="A239" s="50"/>
      <c r="B239" s="53"/>
      <c r="C239" s="53"/>
      <c r="D239" s="24" t="s">
        <v>35</v>
      </c>
      <c r="E239" s="22" t="s">
        <v>29</v>
      </c>
      <c r="F239" s="23" t="s">
        <v>59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</row>
    <row r="240" spans="1:23" s="35" customFormat="1" ht="26.25" x14ac:dyDescent="0.25">
      <c r="A240" s="50"/>
      <c r="B240" s="53"/>
      <c r="C240" s="53"/>
      <c r="D240" s="25" t="s">
        <v>62</v>
      </c>
      <c r="E240" s="22" t="s">
        <v>29</v>
      </c>
      <c r="F240" s="23" t="s">
        <v>59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</row>
    <row r="241" spans="1:23" s="35" customFormat="1" ht="29.25" customHeight="1" x14ac:dyDescent="0.25">
      <c r="A241" s="50"/>
      <c r="B241" s="53"/>
      <c r="C241" s="53"/>
      <c r="D241" s="55" t="s">
        <v>37</v>
      </c>
      <c r="E241" s="56"/>
      <c r="F241" s="57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</row>
    <row r="242" spans="1:23" s="35" customFormat="1" x14ac:dyDescent="0.25">
      <c r="A242" s="50"/>
      <c r="B242" s="53"/>
      <c r="C242" s="53"/>
      <c r="D242" s="24" t="s">
        <v>38</v>
      </c>
      <c r="E242" s="26" t="s">
        <v>39</v>
      </c>
      <c r="F242" s="8" t="s">
        <v>59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</row>
    <row r="243" spans="1:23" s="35" customFormat="1" x14ac:dyDescent="0.25">
      <c r="A243" s="50"/>
      <c r="B243" s="53"/>
      <c r="C243" s="53"/>
      <c r="D243" s="55" t="s">
        <v>40</v>
      </c>
      <c r="E243" s="56"/>
      <c r="F243" s="57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</row>
    <row r="244" spans="1:23" s="35" customFormat="1" x14ac:dyDescent="0.25">
      <c r="A244" s="50"/>
      <c r="B244" s="53"/>
      <c r="C244" s="53"/>
      <c r="D244" s="27" t="s">
        <v>41</v>
      </c>
      <c r="E244" s="28" t="s">
        <v>42</v>
      </c>
      <c r="F244" s="8" t="s">
        <v>59</v>
      </c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</row>
    <row r="245" spans="1:23" s="35" customFormat="1" ht="28.5" customHeight="1" x14ac:dyDescent="0.25">
      <c r="A245" s="50"/>
      <c r="B245" s="53"/>
      <c r="C245" s="53"/>
      <c r="D245" s="48" t="s">
        <v>43</v>
      </c>
      <c r="E245" s="48"/>
      <c r="F245" s="48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</row>
    <row r="246" spans="1:23" s="35" customFormat="1" ht="18.75" customHeight="1" x14ac:dyDescent="0.25">
      <c r="A246" s="50"/>
      <c r="B246" s="53"/>
      <c r="C246" s="53"/>
      <c r="D246" s="29" t="s">
        <v>44</v>
      </c>
      <c r="E246" s="22" t="s">
        <v>15</v>
      </c>
      <c r="F246" s="8" t="s">
        <v>59</v>
      </c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</row>
    <row r="247" spans="1:23" s="35" customFormat="1" x14ac:dyDescent="0.25">
      <c r="A247" s="50"/>
      <c r="B247" s="53"/>
      <c r="C247" s="53"/>
      <c r="D247" s="36" t="s">
        <v>72</v>
      </c>
      <c r="E247" s="22" t="s">
        <v>73</v>
      </c>
      <c r="F247" s="8" t="s">
        <v>59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</row>
    <row r="248" spans="1:23" s="35" customFormat="1" x14ac:dyDescent="0.25">
      <c r="A248" s="50"/>
      <c r="B248" s="53"/>
      <c r="C248" s="53"/>
      <c r="D248" s="14" t="s">
        <v>16</v>
      </c>
      <c r="E248" s="15" t="s">
        <v>17</v>
      </c>
      <c r="F248" s="17" t="s">
        <v>59</v>
      </c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3" s="35" customFormat="1" x14ac:dyDescent="0.25">
      <c r="A249" s="50"/>
      <c r="B249" s="53"/>
      <c r="C249" s="53"/>
      <c r="D249" s="16" t="s">
        <v>18</v>
      </c>
      <c r="E249" s="15" t="s">
        <v>17</v>
      </c>
      <c r="F249" s="17" t="s">
        <v>59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3" s="35" customFormat="1" x14ac:dyDescent="0.25">
      <c r="A250" s="50"/>
      <c r="B250" s="53"/>
      <c r="C250" s="53"/>
      <c r="D250" s="48" t="s">
        <v>45</v>
      </c>
      <c r="E250" s="48"/>
      <c r="F250" s="48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3" s="35" customFormat="1" x14ac:dyDescent="0.25">
      <c r="A251" s="50"/>
      <c r="B251" s="53"/>
      <c r="C251" s="53"/>
      <c r="D251" s="30" t="s">
        <v>46</v>
      </c>
      <c r="E251" s="31" t="s">
        <v>17</v>
      </c>
      <c r="F251" s="32" t="s">
        <v>59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3" s="35" customFormat="1" x14ac:dyDescent="0.25">
      <c r="A252" s="50"/>
      <c r="B252" s="53"/>
      <c r="C252" s="53"/>
      <c r="D252" s="30" t="s">
        <v>47</v>
      </c>
      <c r="E252" s="31" t="s">
        <v>17</v>
      </c>
      <c r="F252" s="32" t="s">
        <v>59</v>
      </c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3" s="35" customFormat="1" x14ac:dyDescent="0.25">
      <c r="A253" s="50"/>
      <c r="B253" s="53"/>
      <c r="C253" s="53"/>
      <c r="D253" s="30" t="s">
        <v>74</v>
      </c>
      <c r="E253" s="31" t="s">
        <v>17</v>
      </c>
      <c r="F253" s="32" t="s">
        <v>59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3" s="35" customFormat="1" ht="39" x14ac:dyDescent="0.25">
      <c r="A254" s="50"/>
      <c r="B254" s="53"/>
      <c r="C254" s="53"/>
      <c r="D254" s="30" t="s">
        <v>64</v>
      </c>
      <c r="E254" s="31" t="s">
        <v>17</v>
      </c>
      <c r="F254" s="32" t="s">
        <v>59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3" s="35" customFormat="1" x14ac:dyDescent="0.25">
      <c r="A255" s="50"/>
      <c r="B255" s="53"/>
      <c r="C255" s="53"/>
      <c r="D255" s="30" t="s">
        <v>50</v>
      </c>
      <c r="E255" s="31" t="s">
        <v>51</v>
      </c>
      <c r="F255" s="45" t="s">
        <v>59</v>
      </c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3" s="35" customFormat="1" x14ac:dyDescent="0.25">
      <c r="A256" s="50"/>
      <c r="B256" s="53"/>
      <c r="C256" s="53"/>
      <c r="D256" s="30" t="s">
        <v>75</v>
      </c>
      <c r="E256" s="12" t="s">
        <v>17</v>
      </c>
      <c r="F256" s="6">
        <v>3846.15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35" customFormat="1" ht="26.25" x14ac:dyDescent="0.25">
      <c r="A257" s="50"/>
      <c r="B257" s="53"/>
      <c r="C257" s="53"/>
      <c r="D257" s="30" t="s">
        <v>53</v>
      </c>
      <c r="E257" s="12" t="s">
        <v>17</v>
      </c>
      <c r="F257" s="46" t="s">
        <v>59</v>
      </c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35" customFormat="1" x14ac:dyDescent="0.25">
      <c r="A258" s="51"/>
      <c r="B258" s="54"/>
      <c r="C258" s="54"/>
      <c r="D258" s="30" t="s">
        <v>34</v>
      </c>
      <c r="E258" s="12" t="s">
        <v>17</v>
      </c>
      <c r="F258" s="32" t="s">
        <v>59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62" spans="1:23" x14ac:dyDescent="0.25">
      <c r="H262" s="6"/>
    </row>
    <row r="264" spans="1:23" x14ac:dyDescent="0.25">
      <c r="H264" s="6"/>
    </row>
  </sheetData>
  <mergeCells count="88"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  <mergeCell ref="D51:F51"/>
    <mergeCell ref="D55:F55"/>
    <mergeCell ref="D64:F64"/>
    <mergeCell ref="D66:F66"/>
    <mergeCell ref="D15:F15"/>
    <mergeCell ref="D19:F19"/>
    <mergeCell ref="D28:F28"/>
    <mergeCell ref="D30:F30"/>
    <mergeCell ref="D32:F32"/>
    <mergeCell ref="D36:F36"/>
    <mergeCell ref="D68:F68"/>
    <mergeCell ref="D72:F72"/>
    <mergeCell ref="A81:A116"/>
    <mergeCell ref="B81:B116"/>
    <mergeCell ref="C81:C116"/>
    <mergeCell ref="D81:F81"/>
    <mergeCell ref="D82:F82"/>
    <mergeCell ref="D86:F86"/>
    <mergeCell ref="D87:F87"/>
    <mergeCell ref="D91:F91"/>
    <mergeCell ref="A45:A80"/>
    <mergeCell ref="B45:B80"/>
    <mergeCell ref="C45:C80"/>
    <mergeCell ref="D45:F45"/>
    <mergeCell ref="D46:F46"/>
    <mergeCell ref="D50:F50"/>
    <mergeCell ref="A117:A151"/>
    <mergeCell ref="B117:B151"/>
    <mergeCell ref="C117:C151"/>
    <mergeCell ref="D117:F117"/>
    <mergeCell ref="D118:F118"/>
    <mergeCell ref="D122:F122"/>
    <mergeCell ref="D144:F144"/>
    <mergeCell ref="D127:F127"/>
    <mergeCell ref="D136:F136"/>
    <mergeCell ref="D138:F138"/>
    <mergeCell ref="D140:F140"/>
    <mergeCell ref="D100:F100"/>
    <mergeCell ref="D102:F102"/>
    <mergeCell ref="D104:F104"/>
    <mergeCell ref="D108:F108"/>
    <mergeCell ref="D123:F123"/>
    <mergeCell ref="D175:F175"/>
    <mergeCell ref="D179:F179"/>
    <mergeCell ref="A152:A186"/>
    <mergeCell ref="B152:B186"/>
    <mergeCell ref="C152:C186"/>
    <mergeCell ref="D152:F152"/>
    <mergeCell ref="D153:F153"/>
    <mergeCell ref="D157:F157"/>
    <mergeCell ref="D158:F158"/>
    <mergeCell ref="D162:F162"/>
    <mergeCell ref="D171:F171"/>
    <mergeCell ref="D173:F173"/>
    <mergeCell ref="D193:F193"/>
    <mergeCell ref="A187:A221"/>
    <mergeCell ref="B187:B221"/>
    <mergeCell ref="C187:C221"/>
    <mergeCell ref="D187:F187"/>
    <mergeCell ref="D188:F188"/>
    <mergeCell ref="D192:F192"/>
    <mergeCell ref="D214:F214"/>
    <mergeCell ref="D197:F197"/>
    <mergeCell ref="D206:F206"/>
    <mergeCell ref="D208:F208"/>
    <mergeCell ref="D210:F210"/>
    <mergeCell ref="D245:F245"/>
    <mergeCell ref="D250:F250"/>
    <mergeCell ref="A222:A258"/>
    <mergeCell ref="B222:B258"/>
    <mergeCell ref="C222:C258"/>
    <mergeCell ref="D222:F222"/>
    <mergeCell ref="D223:F223"/>
    <mergeCell ref="D227:F227"/>
    <mergeCell ref="D228:F228"/>
    <mergeCell ref="D232:F232"/>
    <mergeCell ref="D241:F241"/>
    <mergeCell ref="D243:F243"/>
  </mergeCells>
  <pageMargins left="0.14000000000000001" right="0.15748031496062992" top="0.33" bottom="0.35433070866141736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Преображенская СОШ 2021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2020-03-19T04:32:48Z</cp:lastPrinted>
  <dcterms:created xsi:type="dcterms:W3CDTF">2020-03-18T19:28:38Z</dcterms:created>
  <dcterms:modified xsi:type="dcterms:W3CDTF">2023-03-10T02:09:52Z</dcterms:modified>
</cp:coreProperties>
</file>