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Краснополянская СОШ 2022" sheetId="1" r:id="rId1"/>
  </sheets>
  <calcPr calcId="145621"/>
</workbook>
</file>

<file path=xl/calcChain.xml><?xml version="1.0" encoding="utf-8"?>
<calcChain xmlns="http://schemas.openxmlformats.org/spreadsheetml/2006/main">
  <c r="F258" i="1" l="1"/>
  <c r="F192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19" i="1"/>
  <c r="F18" i="1"/>
  <c r="F17" i="1"/>
  <c r="F16" i="1"/>
  <c r="F179" i="1"/>
  <c r="F143" i="1"/>
  <c r="F107" i="1"/>
  <c r="F71" i="1"/>
  <c r="F35" i="1"/>
  <c r="F84" i="1"/>
  <c r="F48" i="1"/>
  <c r="F12" i="1"/>
  <c r="F166" i="1" l="1"/>
  <c r="F165" i="1"/>
  <c r="F152" i="1"/>
  <c r="F150" i="1"/>
  <c r="F130" i="1"/>
  <c r="F129" i="1"/>
  <c r="F116" i="1"/>
  <c r="F115" i="1"/>
  <c r="F114" i="1"/>
  <c r="F113" i="1"/>
  <c r="F112" i="1"/>
  <c r="F111" i="1"/>
  <c r="F110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8" i="1"/>
  <c r="F64" i="1"/>
  <c r="F63" i="1"/>
  <c r="F62" i="1"/>
  <c r="F61" i="1"/>
  <c r="F60" i="1"/>
  <c r="F59" i="1"/>
  <c r="F58" i="1"/>
  <c r="F57" i="1"/>
  <c r="F44" i="1"/>
  <c r="F43" i="1"/>
  <c r="F42" i="1"/>
  <c r="F41" i="1"/>
  <c r="F40" i="1"/>
  <c r="F39" i="1"/>
  <c r="F38" i="1"/>
  <c r="F32" i="1"/>
  <c r="F28" i="1"/>
  <c r="F27" i="1"/>
  <c r="F26" i="1"/>
  <c r="F25" i="1"/>
  <c r="F24" i="1"/>
  <c r="F23" i="1"/>
  <c r="F22" i="1"/>
  <c r="F21" i="1"/>
  <c r="F188" i="1" l="1"/>
  <c r="F186" i="1"/>
  <c r="F104" i="1"/>
  <c r="F78" i="1"/>
  <c r="F72" i="1"/>
  <c r="F34" i="1"/>
  <c r="F11" i="1"/>
  <c r="F193" i="1" l="1"/>
  <c r="F180" i="1"/>
  <c r="F144" i="1"/>
  <c r="F108" i="1"/>
  <c r="F102" i="1"/>
  <c r="F85" i="1"/>
  <c r="F66" i="1"/>
  <c r="F49" i="1"/>
  <c r="F36" i="1"/>
  <c r="F30" i="1"/>
  <c r="F13" i="1"/>
</calcChain>
</file>

<file path=xl/sharedStrings.xml><?xml version="1.0" encoding="utf-8"?>
<sst xmlns="http://schemas.openxmlformats.org/spreadsheetml/2006/main" count="546" uniqueCount="80">
  <si>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</si>
  <si>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</si>
  <si>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"Краснополянская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</si>
  <si>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</si>
  <si>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</si>
  <si>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</si>
  <si>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</si>
  <si>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</si>
  <si>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</si>
  <si>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</si>
  <si>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</si>
  <si>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</si>
  <si>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</si>
  <si>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</si>
  <si>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</si>
  <si>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</si>
  <si>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</si>
  <si>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</si>
  <si>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</si>
  <si>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</si>
  <si>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</si>
  <si>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</si>
  <si>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</si>
  <si>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</si>
  <si>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</si>
  <si>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</si>
  <si>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</si>
  <si>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</si>
  <si>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</si>
  <si>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</si>
  <si>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</si>
  <si>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</si>
  <si>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проведение испытания пожарных кранов и перемотка пожарных рукавов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</si>
  <si>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</si>
  <si>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</si>
  <si>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</si>
  <si>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</si>
  <si>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обслуживание электросетей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</si>
  <si>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</si>
  <si>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</si>
  <si>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</si>
  <si>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</si>
  <si>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</si>
  <si>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</si>
  <si>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</si>
  <si>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</si>
  <si>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</si>
  <si>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</si>
  <si>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приобретение учебников и оборудования</t>
  </si>
  <si>
    <t>приобретение классных журналов с 1-4 классы</t>
  </si>
  <si>
    <t>хозяйственные товары</t>
  </si>
  <si>
    <t>Бумага писчая</t>
  </si>
  <si>
    <t>пачки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</si>
  <si>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</si>
  <si>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</si>
  <si>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</si>
  <si>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</si>
  <si>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</si>
  <si>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</si>
  <si>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</si>
  <si>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</si>
  <si>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</si>
  <si>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оплата за ремонт оборудования и инвентаря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</si>
  <si>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</si>
  <si>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</si>
  <si>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</si>
  <si>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</si>
  <si>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560200О.99.0.ББ18АА00000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</si>
  <si>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</si>
  <si>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</si>
  <si>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</si>
  <si>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</si>
  <si>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</si>
  <si>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</si>
  <si>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</si>
  <si>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</si>
  <si>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</si>
  <si>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</si>
  <si>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</si>
  <si>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11.07.2022 №19/4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</si>
</sst>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2" fontId="0" fillId="0" borderId="0" xfId="0" applyNumberFormat="1"/>
    <xf numFmtId="0" fontId="4" fillId="0" borderId="2" xfId="0" applyFont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0" fontId="0" fillId="0" borderId="0" xfId="0" applyNumberFormat="1"/>
    <xf numFmtId="0" fontId="4" fillId="0" borderId="3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4" fontId="0" fillId="0" borderId="2" xfId="0" applyNumberFormat="1" applyFont="1" applyBorder="1" applyAlignment="1">
      <alignment vertical="top"/>
    </xf>
    <xf numFmtId="4" fontId="0" fillId="0" borderId="0" xfId="0" applyNumberFormat="1" applyFont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49" fontId="6" fillId="0" borderId="9" xfId="0" applyNumberFormat="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4"/>
  <sheetViews>
    <sheetView tabSelected="1" workbookViewId="0">
      <selection activeCell="A5" sqref="A5:F5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6" customWidth="1"/>
    <col min="7" max="7" width="12.42578125" style="6" bestFit="1" customWidth="1"/>
    <col min="8" max="8" width="16.5703125" customWidth="1"/>
    <col min="9" max="10" width="12.42578125" bestFit="1" customWidth="1"/>
    <col min="11" max="11" width="5.5703125" customWidth="1"/>
    <col min="12" max="12" width="1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3" t="s">
        <v>0</v>
      </c>
      <c r="F1" s="43"/>
      <c r="G1" s="3"/>
    </row>
    <row r="2" spans="1:12" ht="15.75" customHeight="1" x14ac:dyDescent="0.25">
      <c r="A2" s="1"/>
      <c r="B2" s="1"/>
      <c r="C2" s="1"/>
      <c r="D2" s="2"/>
      <c r="E2" s="43" t="s">
        <v>79</v>
      </c>
      <c r="F2" s="43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44" t="s">
        <v>1</v>
      </c>
      <c r="B5" s="44"/>
      <c r="C5" s="44"/>
      <c r="D5" s="44"/>
      <c r="E5" s="44"/>
      <c r="F5" s="44"/>
      <c r="G5"/>
    </row>
    <row r="6" spans="1:12" ht="21" customHeight="1" x14ac:dyDescent="0.25">
      <c r="A6" s="45" t="s">
        <v>2</v>
      </c>
      <c r="B6" s="45"/>
      <c r="C6" s="45"/>
      <c r="D6" s="45"/>
      <c r="E6" s="45"/>
      <c r="F6" s="45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6" t="s">
        <v>9</v>
      </c>
      <c r="B9" s="49" t="s">
        <v>10</v>
      </c>
      <c r="C9" s="49" t="s">
        <v>11</v>
      </c>
      <c r="D9" s="52" t="s">
        <v>12</v>
      </c>
      <c r="E9" s="53"/>
      <c r="F9" s="54"/>
      <c r="G9"/>
    </row>
    <row r="10" spans="1:12" x14ac:dyDescent="0.25">
      <c r="A10" s="47"/>
      <c r="B10" s="50"/>
      <c r="C10" s="50"/>
      <c r="D10" s="55" t="s">
        <v>13</v>
      </c>
      <c r="E10" s="55"/>
      <c r="F10" s="55"/>
      <c r="G10"/>
    </row>
    <row r="11" spans="1:12" x14ac:dyDescent="0.25">
      <c r="A11" s="47"/>
      <c r="B11" s="50"/>
      <c r="C11" s="50"/>
      <c r="D11" s="11" t="s">
        <v>14</v>
      </c>
      <c r="E11" s="12" t="s">
        <v>15</v>
      </c>
      <c r="F11" s="13">
        <f>17.71+39.29</f>
        <v>57</v>
      </c>
      <c r="G11"/>
    </row>
    <row r="12" spans="1:12" x14ac:dyDescent="0.25">
      <c r="A12" s="47"/>
      <c r="B12" s="50"/>
      <c r="C12" s="50"/>
      <c r="D12" s="14" t="s">
        <v>16</v>
      </c>
      <c r="E12" s="15" t="s">
        <v>17</v>
      </c>
      <c r="F12" s="13">
        <f>26921000*0.21/129</f>
        <v>43824.883720930229</v>
      </c>
      <c r="H12" s="16"/>
    </row>
    <row r="13" spans="1:12" x14ac:dyDescent="0.25">
      <c r="A13" s="47"/>
      <c r="B13" s="50"/>
      <c r="C13" s="50"/>
      <c r="D13" s="17" t="s">
        <v>18</v>
      </c>
      <c r="E13" s="15" t="s">
        <v>17</v>
      </c>
      <c r="F13" s="18">
        <f>F12*30.2%</f>
        <v>13235.114883720929</v>
      </c>
      <c r="G13"/>
      <c r="H13" s="16"/>
    </row>
    <row r="14" spans="1:12" x14ac:dyDescent="0.25">
      <c r="A14" s="47"/>
      <c r="B14" s="50"/>
      <c r="C14" s="50"/>
      <c r="D14" s="52" t="s">
        <v>19</v>
      </c>
      <c r="E14" s="53"/>
      <c r="F14" s="54"/>
      <c r="G14"/>
      <c r="H14" s="6"/>
    </row>
    <row r="15" spans="1:12" x14ac:dyDescent="0.25">
      <c r="A15" s="47"/>
      <c r="B15" s="50"/>
      <c r="C15" s="50"/>
      <c r="D15" s="55" t="s">
        <v>20</v>
      </c>
      <c r="E15" s="55"/>
      <c r="F15" s="55"/>
      <c r="G15"/>
      <c r="H15" s="16"/>
    </row>
    <row r="16" spans="1:12" x14ac:dyDescent="0.25">
      <c r="A16" s="47"/>
      <c r="B16" s="50"/>
      <c r="C16" s="50"/>
      <c r="D16" s="19" t="s">
        <v>21</v>
      </c>
      <c r="E16" s="37" t="s">
        <v>22</v>
      </c>
      <c r="F16" s="8">
        <f>3200000*0.21/129</f>
        <v>5209.3023255813951</v>
      </c>
      <c r="G16"/>
      <c r="H16" s="16"/>
    </row>
    <row r="17" spans="1:10" x14ac:dyDescent="0.25">
      <c r="A17" s="47"/>
      <c r="B17" s="50"/>
      <c r="C17" s="50"/>
      <c r="D17" s="19" t="s">
        <v>23</v>
      </c>
      <c r="E17" s="37" t="s">
        <v>24</v>
      </c>
      <c r="F17" s="8">
        <f>1401513*0.21/129</f>
        <v>2281.5327906976745</v>
      </c>
      <c r="G17" s="16"/>
      <c r="H17" s="16"/>
    </row>
    <row r="18" spans="1:10" ht="15.75" x14ac:dyDescent="0.25">
      <c r="A18" s="47"/>
      <c r="B18" s="50"/>
      <c r="C18" s="50"/>
      <c r="D18" s="19" t="s">
        <v>25</v>
      </c>
      <c r="E18" s="37" t="s">
        <v>26</v>
      </c>
      <c r="F18" s="8">
        <f>132800*0.21/129</f>
        <v>216.18604651162789</v>
      </c>
      <c r="G18"/>
      <c r="H18" s="6"/>
      <c r="J18" s="6"/>
    </row>
    <row r="19" spans="1:10" x14ac:dyDescent="0.25">
      <c r="A19" s="47"/>
      <c r="B19" s="50"/>
      <c r="C19" s="50"/>
      <c r="D19" s="21" t="s">
        <v>27</v>
      </c>
      <c r="E19" s="20" t="s">
        <v>28</v>
      </c>
      <c r="F19" s="8">
        <f>0.21*75000/129</f>
        <v>122.09302325581395</v>
      </c>
      <c r="G19"/>
      <c r="H19" s="16"/>
      <c r="J19" s="6"/>
    </row>
    <row r="20" spans="1:10" ht="34.5" customHeight="1" x14ac:dyDescent="0.25">
      <c r="A20" s="47"/>
      <c r="B20" s="50"/>
      <c r="C20" s="50"/>
      <c r="D20" s="52" t="s">
        <v>29</v>
      </c>
      <c r="E20" s="53"/>
      <c r="F20" s="54"/>
      <c r="G20"/>
      <c r="H20" s="16"/>
      <c r="J20" s="6"/>
    </row>
    <row r="21" spans="1:10" x14ac:dyDescent="0.25">
      <c r="A21" s="47"/>
      <c r="B21" s="50"/>
      <c r="C21" s="50"/>
      <c r="D21" s="23" t="s">
        <v>30</v>
      </c>
      <c r="E21" s="24" t="s">
        <v>28</v>
      </c>
      <c r="F21" s="25">
        <f>10605.68*0.36/129</f>
        <v>29.597246511627908</v>
      </c>
      <c r="H21" s="16"/>
    </row>
    <row r="22" spans="1:10" x14ac:dyDescent="0.25">
      <c r="A22" s="47"/>
      <c r="B22" s="50"/>
      <c r="C22" s="50"/>
      <c r="D22" s="23" t="s">
        <v>31</v>
      </c>
      <c r="E22" s="24" t="s">
        <v>28</v>
      </c>
      <c r="F22" s="25">
        <f>1000*0.36/129</f>
        <v>2.7906976744186047</v>
      </c>
      <c r="G22"/>
      <c r="H22" s="16"/>
    </row>
    <row r="23" spans="1:10" ht="25.5" x14ac:dyDescent="0.25">
      <c r="A23" s="47"/>
      <c r="B23" s="50"/>
      <c r="C23" s="50"/>
      <c r="D23" s="26" t="s">
        <v>32</v>
      </c>
      <c r="E23" s="7" t="s">
        <v>28</v>
      </c>
      <c r="F23" s="8">
        <f>0.49*22000/129</f>
        <v>83.565891472868216</v>
      </c>
      <c r="H23" s="16"/>
    </row>
    <row r="24" spans="1:10" x14ac:dyDescent="0.25">
      <c r="A24" s="47"/>
      <c r="B24" s="50"/>
      <c r="C24" s="50"/>
      <c r="D24" s="26" t="s">
        <v>33</v>
      </c>
      <c r="E24" s="24" t="s">
        <v>28</v>
      </c>
      <c r="F24" s="13">
        <f>80000*0.49/129</f>
        <v>303.87596899224809</v>
      </c>
      <c r="G24"/>
    </row>
    <row r="25" spans="1:10" ht="39" x14ac:dyDescent="0.25">
      <c r="A25" s="47"/>
      <c r="B25" s="50"/>
      <c r="C25" s="50"/>
      <c r="D25" s="27" t="s">
        <v>34</v>
      </c>
      <c r="E25" s="24" t="s">
        <v>28</v>
      </c>
      <c r="F25" s="13">
        <f>(24000+48000)*0.49/129</f>
        <v>273.48837209302326</v>
      </c>
      <c r="G25"/>
      <c r="H25" s="16"/>
    </row>
    <row r="26" spans="1:10" x14ac:dyDescent="0.25">
      <c r="A26" s="47"/>
      <c r="B26" s="50"/>
      <c r="C26" s="50"/>
      <c r="D26" s="26" t="s">
        <v>35</v>
      </c>
      <c r="E26" s="24" t="s">
        <v>28</v>
      </c>
      <c r="F26" s="13">
        <f>142400*0.49/129</f>
        <v>540.89922480620157</v>
      </c>
      <c r="G26"/>
    </row>
    <row r="27" spans="1:10" x14ac:dyDescent="0.25">
      <c r="A27" s="47"/>
      <c r="B27" s="50"/>
      <c r="C27" s="50"/>
      <c r="D27" s="26" t="s">
        <v>36</v>
      </c>
      <c r="E27" s="24" t="s">
        <v>28</v>
      </c>
      <c r="F27" s="13">
        <f>25000*0.49/129</f>
        <v>94.961240310077514</v>
      </c>
      <c r="G27"/>
    </row>
    <row r="28" spans="1:10" x14ac:dyDescent="0.25">
      <c r="A28" s="47"/>
      <c r="B28" s="50"/>
      <c r="C28" s="50"/>
      <c r="D28" s="27" t="s">
        <v>37</v>
      </c>
      <c r="E28" s="24" t="s">
        <v>28</v>
      </c>
      <c r="F28" s="13">
        <f>94400*0.49/129</f>
        <v>358.5736434108527</v>
      </c>
      <c r="G28"/>
    </row>
    <row r="29" spans="1:10" ht="29.25" customHeight="1" x14ac:dyDescent="0.25">
      <c r="A29" s="47"/>
      <c r="B29" s="50"/>
      <c r="C29" s="50"/>
      <c r="D29" s="52" t="s">
        <v>38</v>
      </c>
      <c r="E29" s="53"/>
      <c r="F29" s="54"/>
      <c r="G29"/>
    </row>
    <row r="30" spans="1:10" x14ac:dyDescent="0.25">
      <c r="A30" s="47"/>
      <c r="B30" s="50"/>
      <c r="C30" s="50"/>
      <c r="D30" s="26" t="s">
        <v>39</v>
      </c>
      <c r="E30" s="28" t="s">
        <v>40</v>
      </c>
      <c r="F30" s="8">
        <f>20*0.45</f>
        <v>9</v>
      </c>
      <c r="G30"/>
      <c r="H30" s="6"/>
    </row>
    <row r="31" spans="1:10" x14ac:dyDescent="0.25">
      <c r="A31" s="47"/>
      <c r="B31" s="50"/>
      <c r="C31" s="50"/>
      <c r="D31" s="52" t="s">
        <v>41</v>
      </c>
      <c r="E31" s="53"/>
      <c r="F31" s="54"/>
      <c r="G31"/>
    </row>
    <row r="32" spans="1:10" x14ac:dyDescent="0.25">
      <c r="A32" s="47"/>
      <c r="B32" s="50"/>
      <c r="C32" s="50"/>
      <c r="D32" s="29" t="s">
        <v>42</v>
      </c>
      <c r="E32" s="30" t="s">
        <v>28</v>
      </c>
      <c r="F32" s="8">
        <f>0.49*142752/129</f>
        <v>542.23627906976742</v>
      </c>
      <c r="G32"/>
    </row>
    <row r="33" spans="1:26" ht="30" customHeight="1" x14ac:dyDescent="0.25">
      <c r="A33" s="47"/>
      <c r="B33" s="50"/>
      <c r="C33" s="50"/>
      <c r="D33" s="55" t="s">
        <v>44</v>
      </c>
      <c r="E33" s="55"/>
      <c r="F33" s="55"/>
      <c r="G33"/>
    </row>
    <row r="34" spans="1:26" ht="26.25" x14ac:dyDescent="0.25">
      <c r="A34" s="47"/>
      <c r="B34" s="50"/>
      <c r="C34" s="50"/>
      <c r="D34" s="31" t="s">
        <v>45</v>
      </c>
      <c r="E34" s="24" t="s">
        <v>15</v>
      </c>
      <c r="F34" s="8">
        <f>11.65+18.65</f>
        <v>30.299999999999997</v>
      </c>
      <c r="G34"/>
    </row>
    <row r="35" spans="1:26" x14ac:dyDescent="0.25">
      <c r="A35" s="47"/>
      <c r="B35" s="50"/>
      <c r="C35" s="50"/>
      <c r="D35" s="14" t="s">
        <v>16</v>
      </c>
      <c r="E35" s="15" t="s">
        <v>17</v>
      </c>
      <c r="F35" s="18">
        <f xml:space="preserve"> 10081500*0.21/129</f>
        <v>16411.744186046511</v>
      </c>
      <c r="G35"/>
    </row>
    <row r="36" spans="1:26" x14ac:dyDescent="0.25">
      <c r="A36" s="47"/>
      <c r="B36" s="50"/>
      <c r="C36" s="50"/>
      <c r="D36" s="17" t="s">
        <v>18</v>
      </c>
      <c r="E36" s="15" t="s">
        <v>17</v>
      </c>
      <c r="F36" s="18">
        <f>F35*30.2%</f>
        <v>4956.3467441860466</v>
      </c>
      <c r="G36"/>
    </row>
    <row r="37" spans="1:26" x14ac:dyDescent="0.25">
      <c r="A37" s="47"/>
      <c r="B37" s="50"/>
      <c r="C37" s="50"/>
      <c r="D37" s="55" t="s">
        <v>46</v>
      </c>
      <c r="E37" s="55"/>
      <c r="F37" s="55"/>
      <c r="G37"/>
    </row>
    <row r="38" spans="1:26" x14ac:dyDescent="0.25">
      <c r="A38" s="47"/>
      <c r="B38" s="50"/>
      <c r="C38" s="50"/>
      <c r="D38" s="32" t="s">
        <v>47</v>
      </c>
      <c r="E38" s="33" t="s">
        <v>17</v>
      </c>
      <c r="F38" s="18">
        <f>117548*0.49/129</f>
        <v>446.50015503875966</v>
      </c>
      <c r="G38"/>
    </row>
    <row r="39" spans="1:26" x14ac:dyDescent="0.25">
      <c r="A39" s="47"/>
      <c r="B39" s="50"/>
      <c r="C39" s="50"/>
      <c r="D39" s="32" t="s">
        <v>48</v>
      </c>
      <c r="E39" s="33" t="s">
        <v>17</v>
      </c>
      <c r="F39" s="18">
        <f>0.49*(700300+85000+30000)/129</f>
        <v>3096.8759689922481</v>
      </c>
      <c r="G39"/>
    </row>
    <row r="40" spans="1:26" ht="26.25" x14ac:dyDescent="0.25">
      <c r="A40" s="47"/>
      <c r="B40" s="50"/>
      <c r="C40" s="50"/>
      <c r="D40" s="32" t="s">
        <v>49</v>
      </c>
      <c r="E40" s="33" t="s">
        <v>17</v>
      </c>
      <c r="F40" s="18">
        <f>12000*0.49/129</f>
        <v>45.581395348837212</v>
      </c>
      <c r="G40"/>
    </row>
    <row r="41" spans="1:26" x14ac:dyDescent="0.25">
      <c r="A41" s="47"/>
      <c r="B41" s="50"/>
      <c r="C41" s="50"/>
      <c r="D41" s="32" t="s">
        <v>50</v>
      </c>
      <c r="E41" s="33" t="s">
        <v>17</v>
      </c>
      <c r="F41" s="18">
        <f>0.49*20000/129</f>
        <v>75.968992248062023</v>
      </c>
      <c r="G41"/>
    </row>
    <row r="42" spans="1:26" x14ac:dyDescent="0.25">
      <c r="A42" s="47"/>
      <c r="B42" s="50"/>
      <c r="C42" s="50"/>
      <c r="D42" s="32" t="s">
        <v>51</v>
      </c>
      <c r="E42" s="33" t="s">
        <v>52</v>
      </c>
      <c r="F42" s="18">
        <f>50*0.49</f>
        <v>24.5</v>
      </c>
      <c r="G42"/>
    </row>
    <row r="43" spans="1:26" ht="26.25" x14ac:dyDescent="0.25">
      <c r="A43" s="47"/>
      <c r="B43" s="50"/>
      <c r="C43" s="50"/>
      <c r="D43" s="32" t="s">
        <v>53</v>
      </c>
      <c r="E43" s="12" t="s">
        <v>17</v>
      </c>
      <c r="F43" s="18">
        <f>0.49*38694.32/129</f>
        <v>146.97842480620153</v>
      </c>
      <c r="G43"/>
      <c r="H43" s="6"/>
    </row>
    <row r="44" spans="1:26" x14ac:dyDescent="0.25">
      <c r="A44" s="48"/>
      <c r="B44" s="51"/>
      <c r="C44" s="51"/>
      <c r="D44" s="32" t="s">
        <v>35</v>
      </c>
      <c r="E44" s="12" t="s">
        <v>17</v>
      </c>
      <c r="F44" s="18">
        <f>114150*0.36/129</f>
        <v>318.55813953488371</v>
      </c>
      <c r="G44"/>
    </row>
    <row r="45" spans="1:26" s="34" customFormat="1" ht="22.5" customHeight="1" x14ac:dyDescent="0.25">
      <c r="A45" s="46" t="s">
        <v>54</v>
      </c>
      <c r="B45" s="49" t="s">
        <v>55</v>
      </c>
      <c r="C45" s="49" t="s">
        <v>11</v>
      </c>
      <c r="D45" s="52" t="s">
        <v>12</v>
      </c>
      <c r="E45" s="53"/>
      <c r="F45" s="54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4" customFormat="1" x14ac:dyDescent="0.25">
      <c r="A46" s="47"/>
      <c r="B46" s="50"/>
      <c r="C46" s="50"/>
      <c r="D46" s="55" t="s">
        <v>13</v>
      </c>
      <c r="E46" s="55"/>
      <c r="F46" s="55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4" customFormat="1" x14ac:dyDescent="0.25">
      <c r="A47" s="47"/>
      <c r="B47" s="50"/>
      <c r="C47" s="50"/>
      <c r="D47" s="11" t="s">
        <v>14</v>
      </c>
      <c r="E47" s="12" t="s">
        <v>15</v>
      </c>
      <c r="F47" s="13">
        <v>57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4" customFormat="1" x14ac:dyDescent="0.25">
      <c r="A48" s="47"/>
      <c r="B48" s="50"/>
      <c r="C48" s="50"/>
      <c r="D48" s="14" t="s">
        <v>16</v>
      </c>
      <c r="E48" s="15" t="s">
        <v>17</v>
      </c>
      <c r="F48" s="13">
        <f>26921000*0.26/157</f>
        <v>44582.547770700636</v>
      </c>
      <c r="G48" s="6"/>
      <c r="H48" s="16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4" customFormat="1" x14ac:dyDescent="0.25">
      <c r="A49" s="47"/>
      <c r="B49" s="50"/>
      <c r="C49" s="50"/>
      <c r="D49" s="17" t="s">
        <v>18</v>
      </c>
      <c r="E49" s="15" t="s">
        <v>17</v>
      </c>
      <c r="F49" s="18">
        <f>F48*30.2%</f>
        <v>13463.929426751592</v>
      </c>
      <c r="G49"/>
      <c r="H49" s="1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4" customFormat="1" ht="15" customHeight="1" x14ac:dyDescent="0.25">
      <c r="A50" s="47"/>
      <c r="B50" s="50"/>
      <c r="C50" s="50"/>
      <c r="D50" s="52" t="s">
        <v>19</v>
      </c>
      <c r="E50" s="53"/>
      <c r="F50" s="54"/>
      <c r="G50"/>
      <c r="H50" s="1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4" customFormat="1" x14ac:dyDescent="0.25">
      <c r="A51" s="47"/>
      <c r="B51" s="50"/>
      <c r="C51" s="50"/>
      <c r="D51" s="55" t="s">
        <v>20</v>
      </c>
      <c r="E51" s="55"/>
      <c r="F51" s="55"/>
      <c r="G51"/>
      <c r="H51" s="1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4" customFormat="1" x14ac:dyDescent="0.25">
      <c r="A52" s="47"/>
      <c r="B52" s="50"/>
      <c r="C52" s="50"/>
      <c r="D52" s="19" t="s">
        <v>21</v>
      </c>
      <c r="E52" s="20" t="s">
        <v>22</v>
      </c>
      <c r="F52" s="8">
        <f>3200000*0.26/157</f>
        <v>5299.3630573248411</v>
      </c>
      <c r="G52"/>
      <c r="H52" s="1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4" customFormat="1" x14ac:dyDescent="0.25">
      <c r="A53" s="47"/>
      <c r="B53" s="50"/>
      <c r="C53" s="50"/>
      <c r="D53" s="19" t="s">
        <v>23</v>
      </c>
      <c r="E53" s="20" t="s">
        <v>24</v>
      </c>
      <c r="F53" s="8">
        <f>1401513*0.26/157</f>
        <v>2320.9769426751591</v>
      </c>
      <c r="G53" s="16"/>
      <c r="H53" s="16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4" customFormat="1" ht="15.75" x14ac:dyDescent="0.25">
      <c r="A54" s="47"/>
      <c r="B54" s="50"/>
      <c r="C54" s="50"/>
      <c r="D54" s="19" t="s">
        <v>25</v>
      </c>
      <c r="E54" s="20" t="s">
        <v>26</v>
      </c>
      <c r="F54" s="8">
        <f>132800*0.26/157</f>
        <v>219.92356687898089</v>
      </c>
      <c r="G54"/>
      <c r="H54" s="16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4" customFormat="1" x14ac:dyDescent="0.25">
      <c r="A55" s="47"/>
      <c r="B55" s="50"/>
      <c r="C55" s="50"/>
      <c r="D55" s="21" t="s">
        <v>27</v>
      </c>
      <c r="E55" s="22" t="s">
        <v>28</v>
      </c>
      <c r="F55" s="8">
        <f>0.26*75000/156</f>
        <v>125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4" customFormat="1" ht="29.25" customHeight="1" x14ac:dyDescent="0.25">
      <c r="A56" s="47"/>
      <c r="B56" s="50"/>
      <c r="C56" s="50"/>
      <c r="D56" s="52" t="s">
        <v>29</v>
      </c>
      <c r="E56" s="53"/>
      <c r="F56" s="54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4" customFormat="1" x14ac:dyDescent="0.25">
      <c r="A57" s="47"/>
      <c r="B57" s="50"/>
      <c r="C57" s="50"/>
      <c r="D57" s="23" t="s">
        <v>30</v>
      </c>
      <c r="E57" s="24" t="s">
        <v>28</v>
      </c>
      <c r="F57" s="25">
        <f>10605.68*0.22/157</f>
        <v>14.861462420382166</v>
      </c>
      <c r="G57" s="6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4" customFormat="1" x14ac:dyDescent="0.25">
      <c r="A58" s="47"/>
      <c r="B58" s="50"/>
      <c r="C58" s="50"/>
      <c r="D58" s="23" t="s">
        <v>31</v>
      </c>
      <c r="E58" s="24" t="s">
        <v>28</v>
      </c>
      <c r="F58" s="25">
        <f>1000*0.22/157</f>
        <v>1.4012738853503184</v>
      </c>
      <c r="G58"/>
      <c r="H58" s="6"/>
      <c r="I58" s="6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4" customFormat="1" ht="25.5" x14ac:dyDescent="0.25">
      <c r="A59" s="47"/>
      <c r="B59" s="50"/>
      <c r="C59" s="50"/>
      <c r="D59" s="26" t="s">
        <v>32</v>
      </c>
      <c r="E59" s="7" t="s">
        <v>28</v>
      </c>
      <c r="F59" s="8">
        <f>0.45*22000/157</f>
        <v>63.057324840764331</v>
      </c>
      <c r="G59" s="6"/>
      <c r="H59" s="6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4" customFormat="1" x14ac:dyDescent="0.25">
      <c r="A60" s="47"/>
      <c r="B60" s="50"/>
      <c r="C60" s="50"/>
      <c r="D60" s="26" t="s">
        <v>33</v>
      </c>
      <c r="E60" s="24" t="s">
        <v>28</v>
      </c>
      <c r="F60" s="13">
        <f>80000*0.45/157</f>
        <v>229.29936305732485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4" customFormat="1" ht="39" x14ac:dyDescent="0.25">
      <c r="A61" s="47"/>
      <c r="B61" s="50"/>
      <c r="C61" s="50"/>
      <c r="D61" s="27" t="s">
        <v>34</v>
      </c>
      <c r="E61" s="24" t="s">
        <v>28</v>
      </c>
      <c r="F61" s="13">
        <f>(24000+48000)*0.45/157</f>
        <v>206.36942675159236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4" customFormat="1" x14ac:dyDescent="0.25">
      <c r="A62" s="47"/>
      <c r="B62" s="50"/>
      <c r="C62" s="50"/>
      <c r="D62" s="26" t="s">
        <v>35</v>
      </c>
      <c r="E62" s="24" t="s">
        <v>28</v>
      </c>
      <c r="F62" s="13">
        <f>142400*0.45/157</f>
        <v>408.15286624203821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4" customFormat="1" x14ac:dyDescent="0.25">
      <c r="A63" s="47"/>
      <c r="B63" s="50"/>
      <c r="C63" s="50"/>
      <c r="D63" s="26" t="s">
        <v>36</v>
      </c>
      <c r="E63" s="24" t="s">
        <v>28</v>
      </c>
      <c r="F63" s="13">
        <f>25000*0.45/157</f>
        <v>71.656050955414017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4" customFormat="1" x14ac:dyDescent="0.25">
      <c r="A64" s="47"/>
      <c r="B64" s="50"/>
      <c r="C64" s="50"/>
      <c r="D64" s="27" t="s">
        <v>37</v>
      </c>
      <c r="E64" s="24" t="s">
        <v>28</v>
      </c>
      <c r="F64" s="13">
        <f>94400*0.45/157</f>
        <v>270.57324840764329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4" customFormat="1" ht="29.25" customHeight="1" x14ac:dyDescent="0.25">
      <c r="A65" s="47"/>
      <c r="B65" s="50"/>
      <c r="C65" s="50"/>
      <c r="D65" s="52" t="s">
        <v>38</v>
      </c>
      <c r="E65" s="53"/>
      <c r="F65" s="54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4" customFormat="1" x14ac:dyDescent="0.25">
      <c r="A66" s="47"/>
      <c r="B66" s="50"/>
      <c r="C66" s="50"/>
      <c r="D66" s="26" t="s">
        <v>39</v>
      </c>
      <c r="E66" s="28" t="s">
        <v>40</v>
      </c>
      <c r="F66" s="8">
        <f>20*0.45</f>
        <v>9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4" customFormat="1" x14ac:dyDescent="0.25">
      <c r="A67" s="47"/>
      <c r="B67" s="50"/>
      <c r="C67" s="50"/>
      <c r="D67" s="52" t="s">
        <v>41</v>
      </c>
      <c r="E67" s="53"/>
      <c r="F67" s="54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4" customFormat="1" x14ac:dyDescent="0.25">
      <c r="A68" s="47"/>
      <c r="B68" s="50"/>
      <c r="C68" s="50"/>
      <c r="D68" s="29" t="s">
        <v>42</v>
      </c>
      <c r="E68" s="30" t="s">
        <v>28</v>
      </c>
      <c r="F68" s="8">
        <f>0.45*142752/157</f>
        <v>409.16178343949048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4" customFormat="1" ht="30" customHeight="1" x14ac:dyDescent="0.25">
      <c r="A69" s="47"/>
      <c r="B69" s="50"/>
      <c r="C69" s="50"/>
      <c r="D69" s="55" t="s">
        <v>44</v>
      </c>
      <c r="E69" s="55"/>
      <c r="F69" s="55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4" customFormat="1" ht="26.25" x14ac:dyDescent="0.25">
      <c r="A70" s="47"/>
      <c r="B70" s="50"/>
      <c r="C70" s="50"/>
      <c r="D70" s="31" t="s">
        <v>45</v>
      </c>
      <c r="E70" s="24" t="s">
        <v>15</v>
      </c>
      <c r="F70" s="8">
        <v>30.3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4" customFormat="1" x14ac:dyDescent="0.25">
      <c r="A71" s="47"/>
      <c r="B71" s="50"/>
      <c r="C71" s="50"/>
      <c r="D71" s="14" t="s">
        <v>16</v>
      </c>
      <c r="E71" s="15" t="s">
        <v>17</v>
      </c>
      <c r="F71" s="18">
        <f>10081500*0.26/157</f>
        <v>16695.477707006368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4" customFormat="1" x14ac:dyDescent="0.25">
      <c r="A72" s="47"/>
      <c r="B72" s="50"/>
      <c r="C72" s="50"/>
      <c r="D72" s="17" t="s">
        <v>18</v>
      </c>
      <c r="E72" s="15" t="s">
        <v>17</v>
      </c>
      <c r="F72" s="18">
        <f>F71*30.2%</f>
        <v>5042.0342675159227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4" customFormat="1" x14ac:dyDescent="0.25">
      <c r="A73" s="47"/>
      <c r="B73" s="50"/>
      <c r="C73" s="50"/>
      <c r="D73" s="55" t="s">
        <v>46</v>
      </c>
      <c r="E73" s="55"/>
      <c r="F73" s="55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4" customFormat="1" x14ac:dyDescent="0.25">
      <c r="A74" s="47"/>
      <c r="B74" s="50"/>
      <c r="C74" s="50"/>
      <c r="D74" s="32" t="s">
        <v>47</v>
      </c>
      <c r="E74" s="33" t="s">
        <v>17</v>
      </c>
      <c r="F74" s="18">
        <f>117548*0.45/157</f>
        <v>336.92101910828023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4" customFormat="1" x14ac:dyDescent="0.25">
      <c r="A75" s="47"/>
      <c r="B75" s="50"/>
      <c r="C75" s="50"/>
      <c r="D75" s="32" t="s">
        <v>48</v>
      </c>
      <c r="E75" s="33" t="s">
        <v>17</v>
      </c>
      <c r="F75" s="18">
        <f>0.45*(700300+85000+30000)/157</f>
        <v>2336.8471337579617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4" customFormat="1" ht="26.25" x14ac:dyDescent="0.25">
      <c r="A76" s="47"/>
      <c r="B76" s="50"/>
      <c r="C76" s="50"/>
      <c r="D76" s="32" t="s">
        <v>49</v>
      </c>
      <c r="E76" s="33" t="s">
        <v>17</v>
      </c>
      <c r="F76" s="18">
        <f>12000*0.45/157</f>
        <v>34.394904458598724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4" customFormat="1" x14ac:dyDescent="0.25">
      <c r="A77" s="47"/>
      <c r="B77" s="50"/>
      <c r="C77" s="50"/>
      <c r="D77" s="32" t="s">
        <v>50</v>
      </c>
      <c r="E77" s="33" t="s">
        <v>17</v>
      </c>
      <c r="F77" s="18">
        <f>0.45*20000/157</f>
        <v>57.324840764331213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4" customFormat="1" x14ac:dyDescent="0.25">
      <c r="A78" s="47"/>
      <c r="B78" s="50"/>
      <c r="C78" s="50"/>
      <c r="D78" s="32" t="s">
        <v>51</v>
      </c>
      <c r="E78" s="33" t="s">
        <v>52</v>
      </c>
      <c r="F78" s="18">
        <f>50*0.45</f>
        <v>22.5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4" customFormat="1" ht="26.25" x14ac:dyDescent="0.25">
      <c r="A79" s="47"/>
      <c r="B79" s="50"/>
      <c r="C79" s="50"/>
      <c r="D79" s="32" t="s">
        <v>53</v>
      </c>
      <c r="E79" s="12" t="s">
        <v>17</v>
      </c>
      <c r="F79" s="18">
        <f>0.45*38694.32/157</f>
        <v>110.90728662420382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4" customFormat="1" x14ac:dyDescent="0.25">
      <c r="A80" s="48"/>
      <c r="B80" s="51"/>
      <c r="C80" s="51"/>
      <c r="D80" s="32" t="s">
        <v>35</v>
      </c>
      <c r="E80" s="12" t="s">
        <v>17</v>
      </c>
      <c r="F80" s="18">
        <f>114150*0.22/157</f>
        <v>159.95541401273886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4" customFormat="1" ht="21" customHeight="1" x14ac:dyDescent="0.25">
      <c r="A81" s="46" t="s">
        <v>56</v>
      </c>
      <c r="B81" s="49" t="s">
        <v>57</v>
      </c>
      <c r="C81" s="49" t="s">
        <v>11</v>
      </c>
      <c r="D81" s="52" t="s">
        <v>12</v>
      </c>
      <c r="E81" s="53"/>
      <c r="F81" s="54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4" customFormat="1" x14ac:dyDescent="0.25">
      <c r="A82" s="47"/>
      <c r="B82" s="50"/>
      <c r="C82" s="50"/>
      <c r="D82" s="55" t="s">
        <v>13</v>
      </c>
      <c r="E82" s="55"/>
      <c r="F82" s="55"/>
      <c r="G82" s="6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4" customFormat="1" x14ac:dyDescent="0.25">
      <c r="A83" s="47"/>
      <c r="B83" s="50"/>
      <c r="C83" s="50"/>
      <c r="D83" s="11" t="s">
        <v>14</v>
      </c>
      <c r="E83" s="12" t="s">
        <v>15</v>
      </c>
      <c r="F83" s="13">
        <v>57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4" customFormat="1" x14ac:dyDescent="0.25">
      <c r="A84" s="47"/>
      <c r="B84" s="50"/>
      <c r="C84" s="50"/>
      <c r="D84" s="14" t="s">
        <v>16</v>
      </c>
      <c r="E84" s="15" t="s">
        <v>17</v>
      </c>
      <c r="F84" s="13">
        <f>(26921000*0.04)/121</f>
        <v>8899.5041322314046</v>
      </c>
      <c r="G84"/>
      <c r="H84" s="1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4" customFormat="1" x14ac:dyDescent="0.25">
      <c r="A85" s="47"/>
      <c r="B85" s="50"/>
      <c r="C85" s="50"/>
      <c r="D85" s="17" t="s">
        <v>18</v>
      </c>
      <c r="E85" s="15" t="s">
        <v>17</v>
      </c>
      <c r="F85" s="18">
        <f>F84*30.2%</f>
        <v>2687.6502479338842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4" customFormat="1" ht="15" customHeight="1" x14ac:dyDescent="0.25">
      <c r="A86" s="47"/>
      <c r="B86" s="50"/>
      <c r="C86" s="50"/>
      <c r="D86" s="52" t="s">
        <v>19</v>
      </c>
      <c r="E86" s="53"/>
      <c r="F86" s="54"/>
      <c r="G86"/>
      <c r="H86" s="1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4" customFormat="1" x14ac:dyDescent="0.25">
      <c r="A87" s="47"/>
      <c r="B87" s="50"/>
      <c r="C87" s="50"/>
      <c r="D87" s="55" t="s">
        <v>20</v>
      </c>
      <c r="E87" s="55"/>
      <c r="F87" s="55"/>
      <c r="G87"/>
      <c r="H87" s="1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4" customFormat="1" x14ac:dyDescent="0.25">
      <c r="A88" s="47"/>
      <c r="B88" s="50"/>
      <c r="C88" s="50"/>
      <c r="D88" s="19" t="s">
        <v>21</v>
      </c>
      <c r="E88" s="20" t="s">
        <v>22</v>
      </c>
      <c r="F88" s="8">
        <f>3200000*0.04/21</f>
        <v>6095.2380952380954</v>
      </c>
      <c r="G88" s="16"/>
      <c r="H88" s="1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4" customFormat="1" x14ac:dyDescent="0.25">
      <c r="A89" s="47"/>
      <c r="B89" s="50"/>
      <c r="C89" s="50"/>
      <c r="D89" s="19" t="s">
        <v>23</v>
      </c>
      <c r="E89" s="20" t="s">
        <v>24</v>
      </c>
      <c r="F89" s="8">
        <f>1401513*0.04/21</f>
        <v>2669.5485714285714</v>
      </c>
      <c r="G89"/>
      <c r="H89" s="1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4" customFormat="1" ht="15.75" x14ac:dyDescent="0.25">
      <c r="A90" s="47"/>
      <c r="B90" s="50"/>
      <c r="C90" s="50"/>
      <c r="D90" s="19" t="s">
        <v>25</v>
      </c>
      <c r="E90" s="20" t="s">
        <v>26</v>
      </c>
      <c r="F90" s="8">
        <f>132800*0.04/21</f>
        <v>252.95238095238096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4" customFormat="1" x14ac:dyDescent="0.25">
      <c r="A91" s="47"/>
      <c r="B91" s="50"/>
      <c r="C91" s="50"/>
      <c r="D91" s="19" t="s">
        <v>27</v>
      </c>
      <c r="E91" s="20" t="s">
        <v>28</v>
      </c>
      <c r="F91" s="8">
        <f>0.04*75000/21</f>
        <v>142.85714285714286</v>
      </c>
      <c r="G91"/>
      <c r="H91" s="1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4" customFormat="1" ht="28.5" customHeight="1" x14ac:dyDescent="0.25">
      <c r="A92" s="47"/>
      <c r="B92" s="50"/>
      <c r="C92" s="50"/>
      <c r="D92" s="52" t="s">
        <v>29</v>
      </c>
      <c r="E92" s="53"/>
      <c r="F92" s="54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4" customFormat="1" x14ac:dyDescent="0.25">
      <c r="A93" s="47"/>
      <c r="B93" s="50"/>
      <c r="C93" s="50"/>
      <c r="D93" s="23" t="s">
        <v>30</v>
      </c>
      <c r="E93" s="24" t="s">
        <v>28</v>
      </c>
      <c r="F93" s="25">
        <f>10605.68*0.03/21</f>
        <v>15.150971428571427</v>
      </c>
      <c r="G93" s="6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4" customFormat="1" x14ac:dyDescent="0.25">
      <c r="A94" s="47"/>
      <c r="B94" s="50"/>
      <c r="C94" s="50"/>
      <c r="D94" s="23" t="s">
        <v>31</v>
      </c>
      <c r="E94" s="24" t="s">
        <v>28</v>
      </c>
      <c r="F94" s="25">
        <f>1000*0.03/21</f>
        <v>1.4285714285714286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4" customFormat="1" ht="25.5" x14ac:dyDescent="0.25">
      <c r="A95" s="47"/>
      <c r="B95" s="50"/>
      <c r="C95" s="50"/>
      <c r="D95" s="26" t="s">
        <v>32</v>
      </c>
      <c r="E95" s="7" t="s">
        <v>28</v>
      </c>
      <c r="F95" s="8">
        <f>0.06*22000/21</f>
        <v>62.857142857142854</v>
      </c>
      <c r="G95" s="6"/>
      <c r="H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4" customFormat="1" x14ac:dyDescent="0.25">
      <c r="A96" s="47"/>
      <c r="B96" s="50"/>
      <c r="C96" s="50"/>
      <c r="D96" s="26" t="s">
        <v>33</v>
      </c>
      <c r="E96" s="24" t="s">
        <v>28</v>
      </c>
      <c r="F96" s="13">
        <f>80000*0.06/21</f>
        <v>228.57142857142858</v>
      </c>
      <c r="G96"/>
      <c r="H96" s="1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4" customFormat="1" ht="39" x14ac:dyDescent="0.25">
      <c r="A97" s="47"/>
      <c r="B97" s="50"/>
      <c r="C97" s="50"/>
      <c r="D97" s="27" t="s">
        <v>34</v>
      </c>
      <c r="E97" s="24" t="s">
        <v>28</v>
      </c>
      <c r="F97" s="13">
        <f>(24000+48000)*0.06/21</f>
        <v>205.71428571428572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4" customFormat="1" x14ac:dyDescent="0.25">
      <c r="A98" s="47"/>
      <c r="B98" s="50"/>
      <c r="C98" s="50"/>
      <c r="D98" s="26" t="s">
        <v>35</v>
      </c>
      <c r="E98" s="24" t="s">
        <v>28</v>
      </c>
      <c r="F98" s="13">
        <f>142400*0.06/21</f>
        <v>406.85714285714283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4" customFormat="1" x14ac:dyDescent="0.25">
      <c r="A99" s="47"/>
      <c r="B99" s="50"/>
      <c r="C99" s="50"/>
      <c r="D99" s="26" t="s">
        <v>36</v>
      </c>
      <c r="E99" s="24" t="s">
        <v>28</v>
      </c>
      <c r="F99" s="13">
        <f>25000*0.06/21</f>
        <v>71.428571428571431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4" customFormat="1" x14ac:dyDescent="0.25">
      <c r="A100" s="47"/>
      <c r="B100" s="50"/>
      <c r="C100" s="50"/>
      <c r="D100" s="27" t="s">
        <v>37</v>
      </c>
      <c r="E100" s="24" t="s">
        <v>28</v>
      </c>
      <c r="F100" s="13">
        <f>94400*0.06/21</f>
        <v>269.71428571428572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4" customFormat="1" ht="28.5" customHeight="1" x14ac:dyDescent="0.25">
      <c r="A101" s="47"/>
      <c r="B101" s="50"/>
      <c r="C101" s="50"/>
      <c r="D101" s="52" t="s">
        <v>38</v>
      </c>
      <c r="E101" s="53"/>
      <c r="F101" s="54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4" customFormat="1" x14ac:dyDescent="0.25">
      <c r="A102" s="47"/>
      <c r="B102" s="50"/>
      <c r="C102" s="50"/>
      <c r="D102" s="26" t="s">
        <v>39</v>
      </c>
      <c r="E102" s="28" t="s">
        <v>40</v>
      </c>
      <c r="F102" s="8">
        <f>20*0.45</f>
        <v>9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4" customFormat="1" x14ac:dyDescent="0.25">
      <c r="A103" s="47"/>
      <c r="B103" s="50"/>
      <c r="C103" s="50"/>
      <c r="D103" s="52" t="s">
        <v>41</v>
      </c>
      <c r="E103" s="53"/>
      <c r="F103" s="54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4" customFormat="1" x14ac:dyDescent="0.25">
      <c r="A104" s="47"/>
      <c r="B104" s="50"/>
      <c r="C104" s="50"/>
      <c r="D104" s="29" t="s">
        <v>42</v>
      </c>
      <c r="E104" s="30" t="s">
        <v>28</v>
      </c>
      <c r="F104" s="8">
        <f>0.06*142752/23</f>
        <v>372.39652173913038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4" customFormat="1" ht="31.5" customHeight="1" x14ac:dyDescent="0.25">
      <c r="A105" s="47"/>
      <c r="B105" s="50"/>
      <c r="C105" s="50"/>
      <c r="D105" s="55" t="s">
        <v>44</v>
      </c>
      <c r="E105" s="55"/>
      <c r="F105" s="5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4" customFormat="1" ht="26.25" x14ac:dyDescent="0.25">
      <c r="A106" s="47"/>
      <c r="B106" s="50"/>
      <c r="C106" s="50"/>
      <c r="D106" s="31" t="s">
        <v>45</v>
      </c>
      <c r="E106" s="24" t="s">
        <v>15</v>
      </c>
      <c r="F106" s="8">
        <v>30.3</v>
      </c>
      <c r="G106"/>
      <c r="H106"/>
      <c r="I106" s="38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4" customFormat="1" x14ac:dyDescent="0.25">
      <c r="A107" s="47"/>
      <c r="B107" s="50"/>
      <c r="C107" s="50"/>
      <c r="D107" s="14" t="s">
        <v>16</v>
      </c>
      <c r="E107" s="15" t="s">
        <v>17</v>
      </c>
      <c r="F107" s="18">
        <f>10081500*0.04/121</f>
        <v>3332.7272727272725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4" customFormat="1" x14ac:dyDescent="0.25">
      <c r="A108" s="47"/>
      <c r="B108" s="50"/>
      <c r="C108" s="50"/>
      <c r="D108" s="17" t="s">
        <v>18</v>
      </c>
      <c r="E108" s="15" t="s">
        <v>17</v>
      </c>
      <c r="F108" s="18">
        <f>F107*30.2%</f>
        <v>1006.4836363636363</v>
      </c>
      <c r="G108"/>
      <c r="H108" s="6"/>
      <c r="I108"/>
      <c r="J108" s="6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4" customFormat="1" x14ac:dyDescent="0.25">
      <c r="A109" s="47"/>
      <c r="B109" s="50"/>
      <c r="C109" s="50"/>
      <c r="D109" s="55" t="s">
        <v>46</v>
      </c>
      <c r="E109" s="55"/>
      <c r="F109" s="55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4" customFormat="1" x14ac:dyDescent="0.25">
      <c r="A110" s="47"/>
      <c r="B110" s="50"/>
      <c r="C110" s="50"/>
      <c r="D110" s="32" t="s">
        <v>47</v>
      </c>
      <c r="E110" s="33" t="s">
        <v>17</v>
      </c>
      <c r="F110" s="18">
        <f>117548*0.06/21</f>
        <v>335.85142857142858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4" customFormat="1" x14ac:dyDescent="0.25">
      <c r="A111" s="47"/>
      <c r="B111" s="50"/>
      <c r="C111" s="50"/>
      <c r="D111" s="32" t="s">
        <v>48</v>
      </c>
      <c r="E111" s="33" t="s">
        <v>17</v>
      </c>
      <c r="F111" s="18">
        <f>0.06*(700300+85000+30000)/21</f>
        <v>2329.4285714285716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4" customFormat="1" ht="26.25" x14ac:dyDescent="0.25">
      <c r="A112" s="47"/>
      <c r="B112" s="50"/>
      <c r="C112" s="50"/>
      <c r="D112" s="32" t="s">
        <v>49</v>
      </c>
      <c r="E112" s="33" t="s">
        <v>17</v>
      </c>
      <c r="F112" s="18">
        <f>12000*0.06/21</f>
        <v>34.285714285714285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4" customFormat="1" x14ac:dyDescent="0.25">
      <c r="A113" s="47"/>
      <c r="B113" s="50"/>
      <c r="C113" s="50"/>
      <c r="D113" s="32" t="s">
        <v>50</v>
      </c>
      <c r="E113" s="33" t="s">
        <v>17</v>
      </c>
      <c r="F113" s="18">
        <f>0.06*20000/21</f>
        <v>57.142857142857146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4" customFormat="1" x14ac:dyDescent="0.25">
      <c r="A114" s="47"/>
      <c r="B114" s="50"/>
      <c r="C114" s="50"/>
      <c r="D114" s="32" t="s">
        <v>51</v>
      </c>
      <c r="E114" s="33" t="s">
        <v>52</v>
      </c>
      <c r="F114" s="18">
        <f>50*0.06</f>
        <v>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4" customFormat="1" ht="26.25" x14ac:dyDescent="0.25">
      <c r="A115" s="47"/>
      <c r="B115" s="50"/>
      <c r="C115" s="50"/>
      <c r="D115" s="32" t="s">
        <v>53</v>
      </c>
      <c r="E115" s="12" t="s">
        <v>17</v>
      </c>
      <c r="F115" s="18">
        <f>0.06*38694.32/21</f>
        <v>110.5552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4" customFormat="1" x14ac:dyDescent="0.25">
      <c r="A116" s="48"/>
      <c r="B116" s="51"/>
      <c r="C116" s="51"/>
      <c r="D116" s="32" t="s">
        <v>35</v>
      </c>
      <c r="E116" s="12" t="s">
        <v>17</v>
      </c>
      <c r="F116" s="18">
        <f>114150*0.03/21</f>
        <v>163.07142857142858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4" customFormat="1" ht="15" customHeight="1" x14ac:dyDescent="0.25">
      <c r="A117" s="46" t="s">
        <v>78</v>
      </c>
      <c r="B117" s="56" t="s">
        <v>66</v>
      </c>
      <c r="C117" s="49" t="s">
        <v>11</v>
      </c>
      <c r="D117" s="52" t="s">
        <v>12</v>
      </c>
      <c r="E117" s="53"/>
      <c r="F117" s="54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4" customFormat="1" x14ac:dyDescent="0.25">
      <c r="A118" s="47"/>
      <c r="B118" s="57"/>
      <c r="C118" s="50"/>
      <c r="D118" s="55" t="s">
        <v>13</v>
      </c>
      <c r="E118" s="55"/>
      <c r="F118" s="55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4" customFormat="1" x14ac:dyDescent="0.25">
      <c r="A119" s="47"/>
      <c r="B119" s="57"/>
      <c r="C119" s="50"/>
      <c r="D119" s="11" t="s">
        <v>14</v>
      </c>
      <c r="E119" s="12" t="s">
        <v>15</v>
      </c>
      <c r="F119" s="13" t="s">
        <v>58</v>
      </c>
      <c r="G119" s="16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4" customFormat="1" x14ac:dyDescent="0.25">
      <c r="A120" s="47"/>
      <c r="B120" s="57"/>
      <c r="C120" s="50"/>
      <c r="D120" s="14" t="s">
        <v>16</v>
      </c>
      <c r="E120" s="15" t="s">
        <v>17</v>
      </c>
      <c r="F120" s="13" t="s">
        <v>58</v>
      </c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4" customFormat="1" x14ac:dyDescent="0.25">
      <c r="A121" s="47"/>
      <c r="B121" s="57"/>
      <c r="C121" s="50"/>
      <c r="D121" s="17" t="s">
        <v>18</v>
      </c>
      <c r="E121" s="15" t="s">
        <v>17</v>
      </c>
      <c r="F121" s="18" t="s">
        <v>58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4" customFormat="1" x14ac:dyDescent="0.25">
      <c r="A122" s="47"/>
      <c r="B122" s="57"/>
      <c r="C122" s="50"/>
      <c r="D122" s="52" t="s">
        <v>19</v>
      </c>
      <c r="E122" s="53"/>
      <c r="F122" s="54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4" customFormat="1" x14ac:dyDescent="0.25">
      <c r="A123" s="47"/>
      <c r="B123" s="57"/>
      <c r="C123" s="50"/>
      <c r="D123" s="52" t="s">
        <v>20</v>
      </c>
      <c r="E123" s="53"/>
      <c r="F123" s="54"/>
      <c r="G123"/>
      <c r="H123" s="1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4" customFormat="1" x14ac:dyDescent="0.25">
      <c r="A124" s="47"/>
      <c r="B124" s="57"/>
      <c r="C124" s="50"/>
      <c r="D124" s="19" t="s">
        <v>21</v>
      </c>
      <c r="E124" s="20" t="s">
        <v>22</v>
      </c>
      <c r="F124" s="8">
        <f>3200000*0.44/269</f>
        <v>5234.2007434944235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4" customFormat="1" x14ac:dyDescent="0.25">
      <c r="A125" s="47"/>
      <c r="B125" s="57"/>
      <c r="C125" s="50"/>
      <c r="D125" s="19" t="s">
        <v>23</v>
      </c>
      <c r="E125" s="20" t="s">
        <v>24</v>
      </c>
      <c r="F125" s="8">
        <f>1401513*0.44/269</f>
        <v>2292.4376208178437</v>
      </c>
      <c r="G125" s="16"/>
      <c r="H125" s="1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4" customFormat="1" ht="15.75" x14ac:dyDescent="0.25">
      <c r="A126" s="47"/>
      <c r="B126" s="57"/>
      <c r="C126" s="50"/>
      <c r="D126" s="19" t="s">
        <v>25</v>
      </c>
      <c r="E126" s="20" t="s">
        <v>26</v>
      </c>
      <c r="F126" s="8">
        <f>132800*0.44/269</f>
        <v>217.2193308550186</v>
      </c>
      <c r="G126"/>
      <c r="H126" s="1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4" customFormat="1" x14ac:dyDescent="0.25">
      <c r="A127" s="47"/>
      <c r="B127" s="57"/>
      <c r="C127" s="50"/>
      <c r="D127" s="19" t="s">
        <v>27</v>
      </c>
      <c r="E127" s="20" t="s">
        <v>28</v>
      </c>
      <c r="F127" s="8">
        <f>0.44*75000/269</f>
        <v>122.67657992565056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4" customFormat="1" ht="22.5" customHeight="1" x14ac:dyDescent="0.25">
      <c r="A128" s="47"/>
      <c r="B128" s="57"/>
      <c r="C128" s="50"/>
      <c r="D128" s="52" t="s">
        <v>29</v>
      </c>
      <c r="E128" s="53"/>
      <c r="F128" s="54"/>
      <c r="G128" s="6"/>
      <c r="H128" s="1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4" customFormat="1" x14ac:dyDescent="0.25">
      <c r="A129" s="47"/>
      <c r="B129" s="57"/>
      <c r="C129" s="50"/>
      <c r="D129" s="23" t="s">
        <v>30</v>
      </c>
      <c r="E129" s="24" t="s">
        <v>28</v>
      </c>
      <c r="F129" s="25">
        <f>10605.68*0.34/269</f>
        <v>13.404948698884761</v>
      </c>
      <c r="G129" s="6"/>
      <c r="H129" s="16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4" customFormat="1" x14ac:dyDescent="0.25">
      <c r="A130" s="47"/>
      <c r="B130" s="57"/>
      <c r="C130" s="50"/>
      <c r="D130" s="23" t="s">
        <v>31</v>
      </c>
      <c r="E130" s="24" t="s">
        <v>28</v>
      </c>
      <c r="F130" s="25">
        <f>1000*0.35/269</f>
        <v>1.3011152416356877</v>
      </c>
      <c r="G130" s="6"/>
      <c r="H130" s="1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4" customFormat="1" x14ac:dyDescent="0.25">
      <c r="A131" s="47"/>
      <c r="B131" s="57"/>
      <c r="C131" s="50"/>
      <c r="D131" s="26" t="s">
        <v>59</v>
      </c>
      <c r="E131" s="7" t="s">
        <v>60</v>
      </c>
      <c r="F131" s="8" t="s">
        <v>58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4" customFormat="1" x14ac:dyDescent="0.25">
      <c r="A132" s="47"/>
      <c r="B132" s="57"/>
      <c r="C132" s="50"/>
      <c r="D132" s="26" t="s">
        <v>33</v>
      </c>
      <c r="E132" s="24" t="s">
        <v>28</v>
      </c>
      <c r="F132" s="8" t="s">
        <v>58</v>
      </c>
      <c r="G132"/>
      <c r="H132" s="6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4" customFormat="1" ht="39" x14ac:dyDescent="0.25">
      <c r="A133" s="47"/>
      <c r="B133" s="57"/>
      <c r="C133" s="50"/>
      <c r="D133" s="27" t="s">
        <v>34</v>
      </c>
      <c r="E133" s="24" t="s">
        <v>28</v>
      </c>
      <c r="F133" s="8" t="s">
        <v>58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4" customFormat="1" x14ac:dyDescent="0.25">
      <c r="A134" s="47"/>
      <c r="B134" s="57"/>
      <c r="C134" s="50"/>
      <c r="D134" s="26" t="s">
        <v>35</v>
      </c>
      <c r="E134" s="24" t="s">
        <v>28</v>
      </c>
      <c r="F134" s="8" t="s">
        <v>58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4" customFormat="1" x14ac:dyDescent="0.25">
      <c r="A135" s="47"/>
      <c r="B135" s="57"/>
      <c r="C135" s="50"/>
      <c r="D135" s="26" t="s">
        <v>36</v>
      </c>
      <c r="E135" s="24" t="s">
        <v>28</v>
      </c>
      <c r="F135" s="8" t="s">
        <v>58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4" customFormat="1" ht="26.25" x14ac:dyDescent="0.25">
      <c r="A136" s="47"/>
      <c r="B136" s="57"/>
      <c r="C136" s="50"/>
      <c r="D136" s="27" t="s">
        <v>61</v>
      </c>
      <c r="E136" s="24" t="s">
        <v>28</v>
      </c>
      <c r="F136" s="8" t="s">
        <v>58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4" customFormat="1" ht="26.25" customHeight="1" x14ac:dyDescent="0.25">
      <c r="A137" s="47"/>
      <c r="B137" s="57"/>
      <c r="C137" s="50"/>
      <c r="D137" s="52" t="s">
        <v>38</v>
      </c>
      <c r="E137" s="53"/>
      <c r="F137" s="54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4" customFormat="1" x14ac:dyDescent="0.25">
      <c r="A138" s="47"/>
      <c r="B138" s="57"/>
      <c r="C138" s="50"/>
      <c r="D138" s="26" t="s">
        <v>39</v>
      </c>
      <c r="E138" s="28" t="s">
        <v>40</v>
      </c>
      <c r="F138" s="8" t="s">
        <v>58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4" customFormat="1" x14ac:dyDescent="0.25">
      <c r="A139" s="47"/>
      <c r="B139" s="57"/>
      <c r="C139" s="50"/>
      <c r="D139" s="52" t="s">
        <v>41</v>
      </c>
      <c r="E139" s="53"/>
      <c r="F139" s="54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4" customFormat="1" x14ac:dyDescent="0.25">
      <c r="A140" s="47"/>
      <c r="B140" s="57"/>
      <c r="C140" s="50"/>
      <c r="D140" s="29" t="s">
        <v>42</v>
      </c>
      <c r="E140" s="30" t="s">
        <v>43</v>
      </c>
      <c r="F140" s="8" t="s">
        <v>58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4" customFormat="1" ht="27" customHeight="1" x14ac:dyDescent="0.25">
      <c r="A141" s="47"/>
      <c r="B141" s="57"/>
      <c r="C141" s="50"/>
      <c r="D141" s="55" t="s">
        <v>44</v>
      </c>
      <c r="E141" s="55"/>
      <c r="F141" s="55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4" customFormat="1" ht="26.25" x14ac:dyDescent="0.25">
      <c r="A142" s="47"/>
      <c r="B142" s="57"/>
      <c r="C142" s="50"/>
      <c r="D142" s="31" t="s">
        <v>45</v>
      </c>
      <c r="E142" s="24" t="s">
        <v>15</v>
      </c>
      <c r="F142" s="8">
        <v>30.3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4" customFormat="1" x14ac:dyDescent="0.25">
      <c r="A143" s="47"/>
      <c r="B143" s="57"/>
      <c r="C143" s="50"/>
      <c r="D143" s="14" t="s">
        <v>16</v>
      </c>
      <c r="E143" s="15" t="s">
        <v>17</v>
      </c>
      <c r="F143" s="18">
        <f>10081500*0.44/269</f>
        <v>16490.185873605948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4" customFormat="1" x14ac:dyDescent="0.25">
      <c r="A144" s="47"/>
      <c r="B144" s="57"/>
      <c r="C144" s="50"/>
      <c r="D144" s="17" t="s">
        <v>18</v>
      </c>
      <c r="E144" s="15" t="s">
        <v>17</v>
      </c>
      <c r="F144" s="18">
        <f>F143*30.2%</f>
        <v>4980.0361338289958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4" customFormat="1" x14ac:dyDescent="0.25">
      <c r="A145" s="47"/>
      <c r="B145" s="57"/>
      <c r="C145" s="50"/>
      <c r="D145" s="55" t="s">
        <v>46</v>
      </c>
      <c r="E145" s="55"/>
      <c r="F145" s="5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4" customFormat="1" x14ac:dyDescent="0.25">
      <c r="A146" s="47"/>
      <c r="B146" s="57"/>
      <c r="C146" s="50"/>
      <c r="D146" s="32" t="s">
        <v>47</v>
      </c>
      <c r="E146" s="33" t="s">
        <v>17</v>
      </c>
      <c r="F146" s="18" t="s">
        <v>58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4" customFormat="1" x14ac:dyDescent="0.25">
      <c r="A147" s="47"/>
      <c r="B147" s="57"/>
      <c r="C147" s="50"/>
      <c r="D147" s="32" t="s">
        <v>62</v>
      </c>
      <c r="E147" s="33" t="s">
        <v>17</v>
      </c>
      <c r="F147" s="18" t="s">
        <v>58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4" customFormat="1" ht="26.25" x14ac:dyDescent="0.25">
      <c r="A148" s="47"/>
      <c r="B148" s="57"/>
      <c r="C148" s="50"/>
      <c r="D148" s="32" t="s">
        <v>63</v>
      </c>
      <c r="E148" s="33" t="s">
        <v>17</v>
      </c>
      <c r="F148" s="18" t="s">
        <v>58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4" customFormat="1" ht="39" x14ac:dyDescent="0.25">
      <c r="A149" s="47"/>
      <c r="B149" s="57"/>
      <c r="C149" s="50"/>
      <c r="D149" s="32" t="s">
        <v>64</v>
      </c>
      <c r="E149" s="33" t="s">
        <v>17</v>
      </c>
      <c r="F149" s="18" t="s">
        <v>58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4" customFormat="1" x14ac:dyDescent="0.25">
      <c r="A150" s="47"/>
      <c r="B150" s="57"/>
      <c r="C150" s="50"/>
      <c r="D150" s="32" t="s">
        <v>65</v>
      </c>
      <c r="E150" s="12" t="s">
        <v>17</v>
      </c>
      <c r="F150" s="18">
        <f>1404963*0.45/269</f>
        <v>2350.309851301115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4" customFormat="1" ht="26.25" x14ac:dyDescent="0.25">
      <c r="A151" s="47"/>
      <c r="B151" s="57"/>
      <c r="C151" s="50"/>
      <c r="D151" s="32" t="s">
        <v>53</v>
      </c>
      <c r="E151" s="12" t="s">
        <v>17</v>
      </c>
      <c r="F151" s="18" t="s">
        <v>58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4" customFormat="1" x14ac:dyDescent="0.25">
      <c r="A152" s="48"/>
      <c r="B152" s="58"/>
      <c r="C152" s="51"/>
      <c r="D152" s="32" t="s">
        <v>35</v>
      </c>
      <c r="E152" s="12" t="s">
        <v>17</v>
      </c>
      <c r="F152" s="18">
        <f>114150*0.23/269</f>
        <v>97.600371747211895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4" customFormat="1" ht="15" customHeight="1" x14ac:dyDescent="0.25">
      <c r="A153" s="46" t="s">
        <v>77</v>
      </c>
      <c r="B153" s="56" t="s">
        <v>67</v>
      </c>
      <c r="C153" s="49" t="s">
        <v>11</v>
      </c>
      <c r="D153" s="52" t="s">
        <v>12</v>
      </c>
      <c r="E153" s="53"/>
      <c r="F153" s="54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4" customFormat="1" x14ac:dyDescent="0.25">
      <c r="A154" s="47"/>
      <c r="B154" s="57"/>
      <c r="C154" s="50"/>
      <c r="D154" s="55" t="s">
        <v>13</v>
      </c>
      <c r="E154" s="55"/>
      <c r="F154" s="55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4" customFormat="1" x14ac:dyDescent="0.25">
      <c r="A155" s="47"/>
      <c r="B155" s="57"/>
      <c r="C155" s="50"/>
      <c r="D155" s="11" t="s">
        <v>14</v>
      </c>
      <c r="E155" s="12" t="s">
        <v>15</v>
      </c>
      <c r="F155" s="13" t="s">
        <v>58</v>
      </c>
      <c r="G155" s="16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4" customFormat="1" x14ac:dyDescent="0.25">
      <c r="A156" s="47"/>
      <c r="B156" s="57"/>
      <c r="C156" s="50"/>
      <c r="D156" s="14" t="s">
        <v>16</v>
      </c>
      <c r="E156" s="15" t="s">
        <v>17</v>
      </c>
      <c r="F156" s="13" t="s">
        <v>58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4" customFormat="1" x14ac:dyDescent="0.25">
      <c r="A157" s="47"/>
      <c r="B157" s="57"/>
      <c r="C157" s="50"/>
      <c r="D157" s="17" t="s">
        <v>18</v>
      </c>
      <c r="E157" s="15" t="s">
        <v>17</v>
      </c>
      <c r="F157" s="13" t="s">
        <v>58</v>
      </c>
      <c r="G157"/>
      <c r="H157" s="1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4" customFormat="1" x14ac:dyDescent="0.25">
      <c r="A158" s="47"/>
      <c r="B158" s="57"/>
      <c r="C158" s="50"/>
      <c r="D158" s="52" t="s">
        <v>19</v>
      </c>
      <c r="E158" s="53"/>
      <c r="F158" s="54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4" customFormat="1" x14ac:dyDescent="0.25">
      <c r="A159" s="47"/>
      <c r="B159" s="57"/>
      <c r="C159" s="50"/>
      <c r="D159" s="52" t="s">
        <v>20</v>
      </c>
      <c r="E159" s="53"/>
      <c r="F159" s="54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4" customFormat="1" x14ac:dyDescent="0.25">
      <c r="A160" s="47"/>
      <c r="B160" s="57"/>
      <c r="C160" s="50"/>
      <c r="D160" s="19" t="s">
        <v>21</v>
      </c>
      <c r="E160" s="20" t="s">
        <v>22</v>
      </c>
      <c r="F160" s="8">
        <f>3200000*0.05/31</f>
        <v>5161.2903225806449</v>
      </c>
      <c r="G160"/>
      <c r="H160"/>
      <c r="I160"/>
      <c r="J160"/>
      <c r="K160"/>
      <c r="L160" s="6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4" customFormat="1" x14ac:dyDescent="0.25">
      <c r="A161" s="47"/>
      <c r="B161" s="57"/>
      <c r="C161" s="50"/>
      <c r="D161" s="19" t="s">
        <v>23</v>
      </c>
      <c r="E161" s="20" t="s">
        <v>24</v>
      </c>
      <c r="F161" s="8">
        <f>1401513*0.05/31</f>
        <v>2260.5048387096776</v>
      </c>
      <c r="G161" s="16"/>
      <c r="H161" s="1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4" customFormat="1" ht="17.25" customHeight="1" x14ac:dyDescent="0.25">
      <c r="A162" s="47"/>
      <c r="B162" s="57"/>
      <c r="C162" s="50"/>
      <c r="D162" s="39" t="s">
        <v>25</v>
      </c>
      <c r="E162" s="40" t="s">
        <v>26</v>
      </c>
      <c r="F162" s="8">
        <f>132800*0.05/31</f>
        <v>214.19354838709677</v>
      </c>
      <c r="G162"/>
      <c r="H162" s="1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4" customFormat="1" ht="17.25" customHeight="1" x14ac:dyDescent="0.25">
      <c r="A163" s="47"/>
      <c r="B163" s="57"/>
      <c r="C163" s="59"/>
      <c r="D163" s="19" t="s">
        <v>27</v>
      </c>
      <c r="E163" s="20" t="s">
        <v>28</v>
      </c>
      <c r="F163" s="8">
        <f>0.05*75000/31</f>
        <v>120.96774193548387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4" customFormat="1" ht="23.25" customHeight="1" x14ac:dyDescent="0.25">
      <c r="A164" s="47"/>
      <c r="B164" s="57"/>
      <c r="C164" s="50"/>
      <c r="D164" s="60" t="s">
        <v>29</v>
      </c>
      <c r="E164" s="61"/>
      <c r="F164" s="62"/>
      <c r="G164"/>
      <c r="H164" s="1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4" customFormat="1" x14ac:dyDescent="0.25">
      <c r="A165" s="47"/>
      <c r="B165" s="57"/>
      <c r="C165" s="50"/>
      <c r="D165" s="23" t="s">
        <v>30</v>
      </c>
      <c r="E165" s="24" t="s">
        <v>28</v>
      </c>
      <c r="F165" s="25">
        <f>10605.68*0.04/31</f>
        <v>13.684748387096775</v>
      </c>
      <c r="G165" s="6"/>
      <c r="H165" s="1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4" customFormat="1" x14ac:dyDescent="0.25">
      <c r="A166" s="47"/>
      <c r="B166" s="57"/>
      <c r="C166" s="50"/>
      <c r="D166" s="23" t="s">
        <v>31</v>
      </c>
      <c r="E166" s="24" t="s">
        <v>28</v>
      </c>
      <c r="F166" s="25">
        <f>1000*0.04/31</f>
        <v>1.2903225806451613</v>
      </c>
      <c r="G166" s="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4" customFormat="1" x14ac:dyDescent="0.25">
      <c r="A167" s="47"/>
      <c r="B167" s="57"/>
      <c r="C167" s="50"/>
      <c r="D167" s="26" t="s">
        <v>59</v>
      </c>
      <c r="E167" s="7" t="s">
        <v>60</v>
      </c>
      <c r="F167" s="8" t="s">
        <v>58</v>
      </c>
      <c r="G167" s="6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4" customFormat="1" x14ac:dyDescent="0.25">
      <c r="A168" s="47"/>
      <c r="B168" s="57"/>
      <c r="C168" s="50"/>
      <c r="D168" s="26" t="s">
        <v>33</v>
      </c>
      <c r="E168" s="24" t="s">
        <v>28</v>
      </c>
      <c r="F168" s="8" t="s">
        <v>58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4" customFormat="1" ht="39" x14ac:dyDescent="0.25">
      <c r="A169" s="47"/>
      <c r="B169" s="57"/>
      <c r="C169" s="50"/>
      <c r="D169" s="27" t="s">
        <v>34</v>
      </c>
      <c r="E169" s="24" t="s">
        <v>28</v>
      </c>
      <c r="F169" s="8" t="s">
        <v>58</v>
      </c>
      <c r="G169"/>
      <c r="H169" s="16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4" customFormat="1" x14ac:dyDescent="0.25">
      <c r="A170" s="47"/>
      <c r="B170" s="57"/>
      <c r="C170" s="50"/>
      <c r="D170" s="26" t="s">
        <v>35</v>
      </c>
      <c r="E170" s="24" t="s">
        <v>28</v>
      </c>
      <c r="F170" s="8" t="s">
        <v>58</v>
      </c>
      <c r="G170"/>
      <c r="H170" s="16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4" customFormat="1" x14ac:dyDescent="0.25">
      <c r="A171" s="47"/>
      <c r="B171" s="57"/>
      <c r="C171" s="50"/>
      <c r="D171" s="26" t="s">
        <v>36</v>
      </c>
      <c r="E171" s="24" t="s">
        <v>28</v>
      </c>
      <c r="F171" s="8" t="s">
        <v>58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4" customFormat="1" ht="26.25" x14ac:dyDescent="0.25">
      <c r="A172" s="47"/>
      <c r="B172" s="57"/>
      <c r="C172" s="50"/>
      <c r="D172" s="27" t="s">
        <v>61</v>
      </c>
      <c r="E172" s="24" t="s">
        <v>28</v>
      </c>
      <c r="F172" s="8" t="s">
        <v>58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4" customFormat="1" ht="26.25" customHeight="1" x14ac:dyDescent="0.25">
      <c r="A173" s="47"/>
      <c r="B173" s="57"/>
      <c r="C173" s="50"/>
      <c r="D173" s="52" t="s">
        <v>38</v>
      </c>
      <c r="E173" s="53"/>
      <c r="F173" s="54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4" customFormat="1" x14ac:dyDescent="0.25">
      <c r="A174" s="47"/>
      <c r="B174" s="57"/>
      <c r="C174" s="50"/>
      <c r="D174" s="26" t="s">
        <v>39</v>
      </c>
      <c r="E174" s="28" t="s">
        <v>40</v>
      </c>
      <c r="F174" s="8" t="s">
        <v>58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4" customFormat="1" x14ac:dyDescent="0.25">
      <c r="A175" s="47"/>
      <c r="B175" s="57"/>
      <c r="C175" s="50"/>
      <c r="D175" s="52" t="s">
        <v>41</v>
      </c>
      <c r="E175" s="53"/>
      <c r="F175" s="54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4" customFormat="1" x14ac:dyDescent="0.25">
      <c r="A176" s="47"/>
      <c r="B176" s="57"/>
      <c r="C176" s="50"/>
      <c r="D176" s="29" t="s">
        <v>42</v>
      </c>
      <c r="E176" s="30" t="s">
        <v>43</v>
      </c>
      <c r="F176" s="8" t="s">
        <v>58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4" customFormat="1" ht="21.75" customHeight="1" x14ac:dyDescent="0.25">
      <c r="A177" s="47"/>
      <c r="B177" s="57"/>
      <c r="C177" s="50"/>
      <c r="D177" s="55" t="s">
        <v>44</v>
      </c>
      <c r="E177" s="55"/>
      <c r="F177" s="55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4" customFormat="1" ht="26.25" x14ac:dyDescent="0.25">
      <c r="A178" s="47"/>
      <c r="B178" s="57"/>
      <c r="C178" s="50"/>
      <c r="D178" s="31" t="s">
        <v>45</v>
      </c>
      <c r="E178" s="24" t="s">
        <v>15</v>
      </c>
      <c r="F178" s="8">
        <v>30.3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4" customFormat="1" x14ac:dyDescent="0.25">
      <c r="A179" s="47"/>
      <c r="B179" s="57"/>
      <c r="C179" s="50"/>
      <c r="D179" s="14" t="s">
        <v>16</v>
      </c>
      <c r="E179" s="15" t="s">
        <v>17</v>
      </c>
      <c r="F179" s="18">
        <f>10081500*0.05/31</f>
        <v>16260.483870967742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4" customFormat="1" x14ac:dyDescent="0.25">
      <c r="A180" s="47"/>
      <c r="B180" s="57"/>
      <c r="C180" s="50"/>
      <c r="D180" s="17" t="s">
        <v>18</v>
      </c>
      <c r="E180" s="15" t="s">
        <v>17</v>
      </c>
      <c r="F180" s="18">
        <f>F179*30.2%</f>
        <v>4910.6661290322581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4" customFormat="1" x14ac:dyDescent="0.25">
      <c r="A181" s="47"/>
      <c r="B181" s="57"/>
      <c r="C181" s="50"/>
      <c r="D181" s="55" t="s">
        <v>46</v>
      </c>
      <c r="E181" s="55"/>
      <c r="F181" s="55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4" customFormat="1" x14ac:dyDescent="0.25">
      <c r="A182" s="47"/>
      <c r="B182" s="57"/>
      <c r="C182" s="50"/>
      <c r="D182" s="32" t="s">
        <v>47</v>
      </c>
      <c r="E182" s="33" t="s">
        <v>17</v>
      </c>
      <c r="F182" s="18" t="s">
        <v>58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4" customFormat="1" x14ac:dyDescent="0.25">
      <c r="A183" s="47"/>
      <c r="B183" s="57"/>
      <c r="C183" s="50"/>
      <c r="D183" s="32" t="s">
        <v>62</v>
      </c>
      <c r="E183" s="33" t="s">
        <v>17</v>
      </c>
      <c r="F183" s="18" t="s">
        <v>58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4" customFormat="1" ht="26.25" x14ac:dyDescent="0.25">
      <c r="A184" s="47"/>
      <c r="B184" s="57"/>
      <c r="C184" s="50"/>
      <c r="D184" s="32" t="s">
        <v>63</v>
      </c>
      <c r="E184" s="33" t="s">
        <v>17</v>
      </c>
      <c r="F184" s="18" t="s">
        <v>58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4" customFormat="1" ht="39" x14ac:dyDescent="0.25">
      <c r="A185" s="47"/>
      <c r="B185" s="57"/>
      <c r="C185" s="50"/>
      <c r="D185" s="32" t="s">
        <v>64</v>
      </c>
      <c r="E185" s="33" t="s">
        <v>17</v>
      </c>
      <c r="F185" s="18" t="s">
        <v>58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4" customFormat="1" x14ac:dyDescent="0.25">
      <c r="A186" s="47"/>
      <c r="B186" s="57"/>
      <c r="C186" s="50"/>
      <c r="D186" s="32" t="s">
        <v>65</v>
      </c>
      <c r="E186" s="12" t="s">
        <v>17</v>
      </c>
      <c r="F186" s="18">
        <f>1404963*0.06/31</f>
        <v>2719.2832258064514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4" customFormat="1" ht="26.25" x14ac:dyDescent="0.25">
      <c r="A187" s="47"/>
      <c r="B187" s="57"/>
      <c r="C187" s="50"/>
      <c r="D187" s="32" t="s">
        <v>53</v>
      </c>
      <c r="E187" s="12" t="s">
        <v>17</v>
      </c>
      <c r="F187" s="18" t="s">
        <v>58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4" customFormat="1" x14ac:dyDescent="0.25">
      <c r="A188" s="48"/>
      <c r="B188" s="58"/>
      <c r="C188" s="51"/>
      <c r="D188" s="32" t="s">
        <v>35</v>
      </c>
      <c r="E188" s="12" t="s">
        <v>17</v>
      </c>
      <c r="F188" s="18">
        <f>114150*0.06/31</f>
        <v>220.93548387096774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4" customFormat="1" ht="30.75" customHeight="1" x14ac:dyDescent="0.25">
      <c r="A189" s="46" t="s">
        <v>68</v>
      </c>
      <c r="B189" s="49" t="s">
        <v>69</v>
      </c>
      <c r="C189" s="49" t="s">
        <v>11</v>
      </c>
      <c r="D189" s="52" t="s">
        <v>12</v>
      </c>
      <c r="E189" s="53"/>
      <c r="F189" s="54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4" customFormat="1" ht="15" customHeight="1" x14ac:dyDescent="0.25">
      <c r="A190" s="47"/>
      <c r="B190" s="50"/>
      <c r="C190" s="50"/>
      <c r="D190" s="52" t="s">
        <v>13</v>
      </c>
      <c r="E190" s="53"/>
      <c r="F190" s="54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4" customFormat="1" x14ac:dyDescent="0.25">
      <c r="A191" s="47"/>
      <c r="B191" s="50"/>
      <c r="C191" s="50"/>
      <c r="D191" s="11" t="s">
        <v>70</v>
      </c>
      <c r="E191" s="12" t="s">
        <v>15</v>
      </c>
      <c r="F191" s="13">
        <v>57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4" customFormat="1" x14ac:dyDescent="0.25">
      <c r="A192" s="47"/>
      <c r="B192" s="50"/>
      <c r="C192" s="50"/>
      <c r="D192" s="14" t="s">
        <v>16</v>
      </c>
      <c r="E192" s="15" t="s">
        <v>17</v>
      </c>
      <c r="F192" s="13">
        <f>1166000/137</f>
        <v>8510.9489051094897</v>
      </c>
      <c r="G192" s="6"/>
      <c r="H192" s="16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4" customFormat="1" x14ac:dyDescent="0.25">
      <c r="A193" s="47"/>
      <c r="B193" s="50"/>
      <c r="C193" s="50"/>
      <c r="D193" s="17" t="s">
        <v>18</v>
      </c>
      <c r="E193" s="15" t="s">
        <v>17</v>
      </c>
      <c r="F193" s="18">
        <f>F192*30.2%</f>
        <v>2570.3065693430658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4" customFormat="1" ht="15" customHeight="1" x14ac:dyDescent="0.25">
      <c r="A194" s="47"/>
      <c r="B194" s="50"/>
      <c r="C194" s="50"/>
      <c r="D194" s="52" t="s">
        <v>19</v>
      </c>
      <c r="E194" s="53"/>
      <c r="F194" s="5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4" customFormat="1" x14ac:dyDescent="0.25">
      <c r="A195" s="47"/>
      <c r="B195" s="50"/>
      <c r="C195" s="50"/>
      <c r="D195" s="52" t="s">
        <v>20</v>
      </c>
      <c r="E195" s="53"/>
      <c r="F195" s="54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4" customFormat="1" x14ac:dyDescent="0.25">
      <c r="A196" s="47"/>
      <c r="B196" s="50"/>
      <c r="C196" s="50"/>
      <c r="D196" s="19" t="s">
        <v>21</v>
      </c>
      <c r="E196" s="20" t="s">
        <v>22</v>
      </c>
      <c r="F196" s="8" t="s">
        <v>58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4" customFormat="1" x14ac:dyDescent="0.25">
      <c r="A197" s="47"/>
      <c r="B197" s="50"/>
      <c r="C197" s="50"/>
      <c r="D197" s="19" t="s">
        <v>23</v>
      </c>
      <c r="E197" s="20" t="s">
        <v>24</v>
      </c>
      <c r="F197" s="8" t="s">
        <v>58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4" customFormat="1" ht="15.75" x14ac:dyDescent="0.25">
      <c r="A198" s="47"/>
      <c r="B198" s="50"/>
      <c r="C198" s="50"/>
      <c r="D198" s="19" t="s">
        <v>25</v>
      </c>
      <c r="E198" s="20" t="s">
        <v>26</v>
      </c>
      <c r="F198" s="8" t="s">
        <v>58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4" customFormat="1" ht="37.5" customHeight="1" x14ac:dyDescent="0.25">
      <c r="A199" s="47"/>
      <c r="B199" s="50"/>
      <c r="C199" s="50"/>
      <c r="D199" s="52" t="s">
        <v>29</v>
      </c>
      <c r="E199" s="53"/>
      <c r="F199" s="54"/>
      <c r="G199"/>
      <c r="H199" s="6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4" customFormat="1" x14ac:dyDescent="0.25">
      <c r="A200" s="47"/>
      <c r="B200" s="50"/>
      <c r="C200" s="50"/>
      <c r="D200" s="23" t="s">
        <v>30</v>
      </c>
      <c r="E200" s="24" t="s">
        <v>28</v>
      </c>
      <c r="F200" s="25" t="s">
        <v>58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4" customFormat="1" x14ac:dyDescent="0.25">
      <c r="A201" s="47"/>
      <c r="B201" s="50"/>
      <c r="C201" s="50"/>
      <c r="D201" s="23" t="s">
        <v>31</v>
      </c>
      <c r="E201" s="24" t="s">
        <v>28</v>
      </c>
      <c r="F201" s="25" t="s">
        <v>58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4" customFormat="1" x14ac:dyDescent="0.25">
      <c r="A202" s="47"/>
      <c r="B202" s="50"/>
      <c r="C202" s="50"/>
      <c r="D202" s="26" t="s">
        <v>59</v>
      </c>
      <c r="E202" s="7" t="s">
        <v>60</v>
      </c>
      <c r="F202" s="25" t="s">
        <v>58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4" customFormat="1" x14ac:dyDescent="0.25">
      <c r="A203" s="47"/>
      <c r="B203" s="50"/>
      <c r="C203" s="50"/>
      <c r="D203" s="26" t="s">
        <v>33</v>
      </c>
      <c r="E203" s="24" t="s">
        <v>28</v>
      </c>
      <c r="F203" s="25" t="s">
        <v>58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4" customFormat="1" ht="39" x14ac:dyDescent="0.25">
      <c r="A204" s="47"/>
      <c r="B204" s="50"/>
      <c r="C204" s="50"/>
      <c r="D204" s="27" t="s">
        <v>34</v>
      </c>
      <c r="E204" s="24" t="s">
        <v>28</v>
      </c>
      <c r="F204" s="25" t="s">
        <v>58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4" customFormat="1" x14ac:dyDescent="0.25">
      <c r="A205" s="47"/>
      <c r="B205" s="50"/>
      <c r="C205" s="50"/>
      <c r="D205" s="26" t="s">
        <v>35</v>
      </c>
      <c r="E205" s="24" t="s">
        <v>28</v>
      </c>
      <c r="F205" s="25" t="s">
        <v>58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4" customFormat="1" x14ac:dyDescent="0.25">
      <c r="A206" s="47"/>
      <c r="B206" s="50"/>
      <c r="C206" s="50"/>
      <c r="D206" s="26" t="s">
        <v>36</v>
      </c>
      <c r="E206" s="24" t="s">
        <v>28</v>
      </c>
      <c r="F206" s="25" t="s">
        <v>58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4" customFormat="1" ht="26.25" x14ac:dyDescent="0.25">
      <c r="A207" s="47"/>
      <c r="B207" s="50"/>
      <c r="C207" s="50"/>
      <c r="D207" s="27" t="s">
        <v>61</v>
      </c>
      <c r="E207" s="24" t="s">
        <v>28</v>
      </c>
      <c r="F207" s="25" t="s">
        <v>58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4" customFormat="1" ht="26.25" customHeight="1" x14ac:dyDescent="0.25">
      <c r="A208" s="47"/>
      <c r="B208" s="50"/>
      <c r="C208" s="50"/>
      <c r="D208" s="52" t="s">
        <v>38</v>
      </c>
      <c r="E208" s="53"/>
      <c r="F208" s="54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4" customFormat="1" x14ac:dyDescent="0.25">
      <c r="A209" s="47"/>
      <c r="B209" s="50"/>
      <c r="C209" s="50"/>
      <c r="D209" s="26" t="s">
        <v>39</v>
      </c>
      <c r="E209" s="28" t="s">
        <v>40</v>
      </c>
      <c r="F209" s="8" t="s">
        <v>58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4" customFormat="1" x14ac:dyDescent="0.25">
      <c r="A210" s="47"/>
      <c r="B210" s="50"/>
      <c r="C210" s="50"/>
      <c r="D210" s="52" t="s">
        <v>41</v>
      </c>
      <c r="E210" s="53"/>
      <c r="F210" s="54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4" customFormat="1" x14ac:dyDescent="0.25">
      <c r="A211" s="47"/>
      <c r="B211" s="50"/>
      <c r="C211" s="50"/>
      <c r="D211" s="29" t="s">
        <v>42</v>
      </c>
      <c r="E211" s="30" t="s">
        <v>43</v>
      </c>
      <c r="F211" s="8" t="s">
        <v>58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4" customFormat="1" ht="26.25" customHeight="1" x14ac:dyDescent="0.25">
      <c r="A212" s="47"/>
      <c r="B212" s="50"/>
      <c r="C212" s="50"/>
      <c r="D212" s="52" t="s">
        <v>44</v>
      </c>
      <c r="E212" s="53"/>
      <c r="F212" s="54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6" s="34" customFormat="1" ht="26.25" x14ac:dyDescent="0.25">
      <c r="A213" s="47"/>
      <c r="B213" s="50"/>
      <c r="C213" s="50"/>
      <c r="D213" s="31" t="s">
        <v>45</v>
      </c>
      <c r="E213" s="24" t="s">
        <v>15</v>
      </c>
      <c r="F213" s="8" t="s">
        <v>58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6" s="34" customFormat="1" x14ac:dyDescent="0.25">
      <c r="A214" s="47"/>
      <c r="B214" s="50"/>
      <c r="C214" s="50"/>
      <c r="D214" s="14" t="s">
        <v>16</v>
      </c>
      <c r="E214" s="15" t="s">
        <v>17</v>
      </c>
      <c r="F214" s="8" t="s">
        <v>58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6" s="34" customFormat="1" x14ac:dyDescent="0.25">
      <c r="A215" s="47"/>
      <c r="B215" s="50"/>
      <c r="C215" s="50"/>
      <c r="D215" s="17" t="s">
        <v>18</v>
      </c>
      <c r="E215" s="15" t="s">
        <v>17</v>
      </c>
      <c r="F215" s="8" t="s">
        <v>58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4" customFormat="1" x14ac:dyDescent="0.25">
      <c r="A216" s="47"/>
      <c r="B216" s="50"/>
      <c r="C216" s="50"/>
      <c r="D216" s="52" t="s">
        <v>46</v>
      </c>
      <c r="E216" s="53"/>
      <c r="F216" s="54"/>
      <c r="G216"/>
      <c r="H216"/>
      <c r="I216"/>
      <c r="J216"/>
      <c r="K216"/>
      <c r="L216" s="6"/>
      <c r="M216"/>
      <c r="N216"/>
      <c r="O216"/>
      <c r="P216"/>
      <c r="Q216"/>
      <c r="R216"/>
      <c r="S216"/>
      <c r="T216"/>
      <c r="U216"/>
      <c r="V216"/>
      <c r="W216"/>
    </row>
    <row r="217" spans="1:26" s="34" customFormat="1" x14ac:dyDescent="0.25">
      <c r="A217" s="47"/>
      <c r="B217" s="50"/>
      <c r="C217" s="50"/>
      <c r="D217" s="32" t="s">
        <v>47</v>
      </c>
      <c r="E217" s="33" t="s">
        <v>17</v>
      </c>
      <c r="F217" s="18" t="s">
        <v>58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4" customFormat="1" x14ac:dyDescent="0.25">
      <c r="A218" s="47"/>
      <c r="B218" s="50"/>
      <c r="C218" s="50"/>
      <c r="D218" s="32" t="s">
        <v>62</v>
      </c>
      <c r="E218" s="33" t="s">
        <v>17</v>
      </c>
      <c r="F218" s="18" t="s">
        <v>58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4" customFormat="1" ht="26.25" x14ac:dyDescent="0.25">
      <c r="A219" s="47"/>
      <c r="B219" s="50"/>
      <c r="C219" s="50"/>
      <c r="D219" s="32" t="s">
        <v>63</v>
      </c>
      <c r="E219" s="33" t="s">
        <v>17</v>
      </c>
      <c r="F219" s="18" t="s">
        <v>58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4" customFormat="1" ht="39" x14ac:dyDescent="0.25">
      <c r="A220" s="47"/>
      <c r="B220" s="50"/>
      <c r="C220" s="50"/>
      <c r="D220" s="32" t="s">
        <v>64</v>
      </c>
      <c r="E220" s="33" t="s">
        <v>17</v>
      </c>
      <c r="F220" s="18" t="s">
        <v>58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4" customFormat="1" x14ac:dyDescent="0.25">
      <c r="A221" s="47"/>
      <c r="B221" s="50"/>
      <c r="C221" s="50"/>
      <c r="D221" s="32" t="s">
        <v>51</v>
      </c>
      <c r="E221" s="33" t="s">
        <v>52</v>
      </c>
      <c r="F221" s="18" t="s">
        <v>58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4" customFormat="1" ht="26.25" x14ac:dyDescent="0.25">
      <c r="A222" s="47"/>
      <c r="B222" s="50"/>
      <c r="C222" s="50"/>
      <c r="D222" s="32" t="s">
        <v>53</v>
      </c>
      <c r="E222" s="12" t="s">
        <v>17</v>
      </c>
      <c r="F222" s="18" t="s">
        <v>58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4" customFormat="1" x14ac:dyDescent="0.25">
      <c r="A223" s="48"/>
      <c r="B223" s="51"/>
      <c r="C223" s="51"/>
      <c r="D223" s="32" t="s">
        <v>35</v>
      </c>
      <c r="E223" s="12" t="s">
        <v>17</v>
      </c>
      <c r="F223" s="18" t="s">
        <v>58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4" customFormat="1" ht="21.75" customHeight="1" x14ac:dyDescent="0.25">
      <c r="A224" s="46" t="s">
        <v>71</v>
      </c>
      <c r="B224" s="49" t="s">
        <v>72</v>
      </c>
      <c r="C224" s="49" t="s">
        <v>11</v>
      </c>
      <c r="D224" s="52" t="s">
        <v>12</v>
      </c>
      <c r="E224" s="53"/>
      <c r="F224" s="5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4" customFormat="1" x14ac:dyDescent="0.25">
      <c r="A225" s="47"/>
      <c r="B225" s="50"/>
      <c r="C225" s="50"/>
      <c r="D225" s="55" t="s">
        <v>13</v>
      </c>
      <c r="E225" s="55"/>
      <c r="F225" s="63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4" customFormat="1" x14ac:dyDescent="0.25">
      <c r="A226" s="47"/>
      <c r="B226" s="50"/>
      <c r="C226" s="50"/>
      <c r="D226" s="11" t="s">
        <v>70</v>
      </c>
      <c r="E226" s="12" t="s">
        <v>15</v>
      </c>
      <c r="F226" s="41"/>
      <c r="G226" s="42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4" customFormat="1" x14ac:dyDescent="0.25">
      <c r="A227" s="47"/>
      <c r="B227" s="50"/>
      <c r="C227" s="50"/>
      <c r="D227" s="14" t="s">
        <v>16</v>
      </c>
      <c r="E227" s="15" t="s">
        <v>17</v>
      </c>
      <c r="F227" s="41"/>
      <c r="G227" s="42"/>
      <c r="H227" s="16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4" customFormat="1" x14ac:dyDescent="0.25">
      <c r="A228" s="47"/>
      <c r="B228" s="50"/>
      <c r="C228" s="50"/>
      <c r="D228" s="17" t="s">
        <v>18</v>
      </c>
      <c r="E228" s="15" t="s">
        <v>17</v>
      </c>
      <c r="F228" s="41"/>
      <c r="G228" s="42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4" customFormat="1" x14ac:dyDescent="0.25">
      <c r="A229" s="47"/>
      <c r="B229" s="50"/>
      <c r="C229" s="50"/>
      <c r="D229" s="52" t="s">
        <v>19</v>
      </c>
      <c r="E229" s="53"/>
      <c r="F229" s="62"/>
      <c r="G229"/>
      <c r="H229" s="16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4" customFormat="1" x14ac:dyDescent="0.25">
      <c r="A230" s="47"/>
      <c r="B230" s="50"/>
      <c r="C230" s="50"/>
      <c r="D230" s="52" t="s">
        <v>20</v>
      </c>
      <c r="E230" s="53"/>
      <c r="F230" s="54"/>
      <c r="G230"/>
      <c r="H230" s="1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4" customFormat="1" x14ac:dyDescent="0.25">
      <c r="A231" s="47"/>
      <c r="B231" s="50"/>
      <c r="C231" s="50"/>
      <c r="D231" s="19" t="s">
        <v>21</v>
      </c>
      <c r="E231" s="20" t="s">
        <v>22</v>
      </c>
      <c r="F231" s="8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4" customFormat="1" x14ac:dyDescent="0.25">
      <c r="A232" s="47"/>
      <c r="B232" s="50"/>
      <c r="C232" s="50"/>
      <c r="D232" s="19" t="s">
        <v>23</v>
      </c>
      <c r="E232" s="20" t="s">
        <v>24</v>
      </c>
      <c r="F232" s="8"/>
      <c r="G232"/>
      <c r="H232" s="16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4" customFormat="1" ht="15.75" x14ac:dyDescent="0.25">
      <c r="A233" s="47"/>
      <c r="B233" s="50"/>
      <c r="C233" s="50"/>
      <c r="D233" s="19" t="s">
        <v>25</v>
      </c>
      <c r="E233" s="20" t="s">
        <v>26</v>
      </c>
      <c r="F233" s="8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4" customFormat="1" ht="30.75" customHeight="1" x14ac:dyDescent="0.25">
      <c r="A234" s="47"/>
      <c r="B234" s="50"/>
      <c r="C234" s="50"/>
      <c r="D234" s="52" t="s">
        <v>29</v>
      </c>
      <c r="E234" s="53"/>
      <c r="F234" s="5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4" customFormat="1" x14ac:dyDescent="0.25">
      <c r="A235" s="47"/>
      <c r="B235" s="50"/>
      <c r="C235" s="50"/>
      <c r="D235" s="23" t="s">
        <v>30</v>
      </c>
      <c r="E235" s="24" t="s">
        <v>28</v>
      </c>
      <c r="F235" s="25" t="s">
        <v>58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4" customFormat="1" x14ac:dyDescent="0.25">
      <c r="A236" s="47"/>
      <c r="B236" s="50"/>
      <c r="C236" s="50"/>
      <c r="D236" s="23" t="s">
        <v>31</v>
      </c>
      <c r="E236" s="24" t="s">
        <v>28</v>
      </c>
      <c r="F236" s="25" t="s">
        <v>58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4" customFormat="1" x14ac:dyDescent="0.25">
      <c r="A237" s="47"/>
      <c r="B237" s="50"/>
      <c r="C237" s="50"/>
      <c r="D237" s="26" t="s">
        <v>59</v>
      </c>
      <c r="E237" s="7" t="s">
        <v>60</v>
      </c>
      <c r="F237" s="25" t="s">
        <v>58</v>
      </c>
      <c r="G237"/>
      <c r="H237" s="6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4" customFormat="1" x14ac:dyDescent="0.25">
      <c r="A238" s="47"/>
      <c r="B238" s="50"/>
      <c r="C238" s="50"/>
      <c r="D238" s="26" t="s">
        <v>33</v>
      </c>
      <c r="E238" s="24" t="s">
        <v>28</v>
      </c>
      <c r="F238" s="25" t="s">
        <v>58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4" customFormat="1" ht="39" x14ac:dyDescent="0.25">
      <c r="A239" s="47"/>
      <c r="B239" s="50"/>
      <c r="C239" s="50"/>
      <c r="D239" s="27" t="s">
        <v>34</v>
      </c>
      <c r="E239" s="24" t="s">
        <v>28</v>
      </c>
      <c r="F239" s="25" t="s">
        <v>58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4" customFormat="1" x14ac:dyDescent="0.25">
      <c r="A240" s="47"/>
      <c r="B240" s="50"/>
      <c r="C240" s="50"/>
      <c r="D240" s="26" t="s">
        <v>35</v>
      </c>
      <c r="E240" s="24" t="s">
        <v>28</v>
      </c>
      <c r="F240" s="25" t="s">
        <v>58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4" customFormat="1" x14ac:dyDescent="0.25">
      <c r="A241" s="47"/>
      <c r="B241" s="50"/>
      <c r="C241" s="50"/>
      <c r="D241" s="26" t="s">
        <v>36</v>
      </c>
      <c r="E241" s="24" t="s">
        <v>28</v>
      </c>
      <c r="F241" s="25" t="s">
        <v>58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4" customFormat="1" ht="26.25" x14ac:dyDescent="0.25">
      <c r="A242" s="47"/>
      <c r="B242" s="50"/>
      <c r="C242" s="50"/>
      <c r="D242" s="27" t="s">
        <v>61</v>
      </c>
      <c r="E242" s="24" t="s">
        <v>28</v>
      </c>
      <c r="F242" s="25" t="s">
        <v>58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4" customFormat="1" ht="29.25" customHeight="1" x14ac:dyDescent="0.25">
      <c r="A243" s="47"/>
      <c r="B243" s="50"/>
      <c r="C243" s="50"/>
      <c r="D243" s="52" t="s">
        <v>38</v>
      </c>
      <c r="E243" s="53"/>
      <c r="F243" s="54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4" customFormat="1" x14ac:dyDescent="0.25">
      <c r="A244" s="47"/>
      <c r="B244" s="50"/>
      <c r="C244" s="50"/>
      <c r="D244" s="26" t="s">
        <v>39</v>
      </c>
      <c r="E244" s="28" t="s">
        <v>40</v>
      </c>
      <c r="F244" s="8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4" customFormat="1" x14ac:dyDescent="0.25">
      <c r="A245" s="47"/>
      <c r="B245" s="50"/>
      <c r="C245" s="50"/>
      <c r="D245" s="52" t="s">
        <v>41</v>
      </c>
      <c r="E245" s="53"/>
      <c r="F245" s="54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4" customFormat="1" x14ac:dyDescent="0.25">
      <c r="A246" s="47"/>
      <c r="B246" s="50"/>
      <c r="C246" s="50"/>
      <c r="D246" s="29" t="s">
        <v>42</v>
      </c>
      <c r="E246" s="30" t="s">
        <v>43</v>
      </c>
      <c r="F246" s="8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4" customFormat="1" ht="28.5" customHeight="1" x14ac:dyDescent="0.25">
      <c r="A247" s="47"/>
      <c r="B247" s="50"/>
      <c r="C247" s="50"/>
      <c r="D247" s="55" t="s">
        <v>44</v>
      </c>
      <c r="E247" s="55"/>
      <c r="F247" s="55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4" customFormat="1" ht="26.25" x14ac:dyDescent="0.25">
      <c r="A248" s="47"/>
      <c r="B248" s="50"/>
      <c r="C248" s="50"/>
      <c r="D248" s="31" t="s">
        <v>45</v>
      </c>
      <c r="E248" s="24" t="s">
        <v>15</v>
      </c>
      <c r="F248" s="8" t="s">
        <v>58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4" customFormat="1" x14ac:dyDescent="0.25">
      <c r="A249" s="47"/>
      <c r="B249" s="50"/>
      <c r="C249" s="50"/>
      <c r="D249" s="35" t="s">
        <v>73</v>
      </c>
      <c r="E249" s="24" t="s">
        <v>74</v>
      </c>
      <c r="F249" s="8" t="s">
        <v>58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4" customFormat="1" x14ac:dyDescent="0.25">
      <c r="A250" s="47"/>
      <c r="B250" s="50"/>
      <c r="C250" s="50"/>
      <c r="D250" s="14" t="s">
        <v>16</v>
      </c>
      <c r="E250" s="15" t="s">
        <v>17</v>
      </c>
      <c r="F250" s="8" t="s">
        <v>58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4" customFormat="1" x14ac:dyDescent="0.25">
      <c r="A251" s="47"/>
      <c r="B251" s="50"/>
      <c r="C251" s="50"/>
      <c r="D251" s="17" t="s">
        <v>18</v>
      </c>
      <c r="E251" s="15" t="s">
        <v>17</v>
      </c>
      <c r="F251" s="8" t="s">
        <v>58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4" customFormat="1" x14ac:dyDescent="0.25">
      <c r="A252" s="47"/>
      <c r="B252" s="50"/>
      <c r="C252" s="50"/>
      <c r="D252" s="55" t="s">
        <v>46</v>
      </c>
      <c r="E252" s="55"/>
      <c r="F252" s="55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4" customFormat="1" x14ac:dyDescent="0.25">
      <c r="A253" s="47"/>
      <c r="B253" s="50"/>
      <c r="C253" s="50"/>
      <c r="D253" s="32" t="s">
        <v>47</v>
      </c>
      <c r="E253" s="33" t="s">
        <v>17</v>
      </c>
      <c r="F253" s="18" t="s">
        <v>58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4" customFormat="1" x14ac:dyDescent="0.25">
      <c r="A254" s="47"/>
      <c r="B254" s="50"/>
      <c r="C254" s="50"/>
      <c r="D254" s="32" t="s">
        <v>62</v>
      </c>
      <c r="E254" s="33" t="s">
        <v>17</v>
      </c>
      <c r="F254" s="18" t="s">
        <v>58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4" customFormat="1" x14ac:dyDescent="0.25">
      <c r="A255" s="47"/>
      <c r="B255" s="50"/>
      <c r="C255" s="50"/>
      <c r="D255" s="32" t="s">
        <v>75</v>
      </c>
      <c r="E255" s="33" t="s">
        <v>17</v>
      </c>
      <c r="F255" s="18" t="s">
        <v>58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4" customFormat="1" ht="39" x14ac:dyDescent="0.25">
      <c r="A256" s="47"/>
      <c r="B256" s="50"/>
      <c r="C256" s="50"/>
      <c r="D256" s="32" t="s">
        <v>64</v>
      </c>
      <c r="E256" s="33" t="s">
        <v>17</v>
      </c>
      <c r="F256" s="18" t="s">
        <v>58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4" customFormat="1" x14ac:dyDescent="0.25">
      <c r="A257" s="47"/>
      <c r="B257" s="50"/>
      <c r="C257" s="50"/>
      <c r="D257" s="32" t="s">
        <v>51</v>
      </c>
      <c r="E257" s="33" t="s">
        <v>52</v>
      </c>
      <c r="F257" s="18" t="s">
        <v>58</v>
      </c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4" customFormat="1" x14ac:dyDescent="0.25">
      <c r="A258" s="47"/>
      <c r="B258" s="50"/>
      <c r="C258" s="50"/>
      <c r="D258" s="32" t="s">
        <v>76</v>
      </c>
      <c r="E258" s="12" t="s">
        <v>17</v>
      </c>
      <c r="F258" s="41">
        <f>280000/50</f>
        <v>5600</v>
      </c>
      <c r="G258" s="42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4" customFormat="1" ht="26.25" x14ac:dyDescent="0.25">
      <c r="A259" s="47"/>
      <c r="B259" s="50"/>
      <c r="C259" s="50"/>
      <c r="D259" s="32" t="s">
        <v>53</v>
      </c>
      <c r="E259" s="12" t="s">
        <v>17</v>
      </c>
      <c r="F259" s="18" t="s">
        <v>58</v>
      </c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4" customFormat="1" x14ac:dyDescent="0.25">
      <c r="A260" s="48"/>
      <c r="B260" s="51"/>
      <c r="C260" s="51"/>
      <c r="D260" s="32" t="s">
        <v>35</v>
      </c>
      <c r="E260" s="12" t="s">
        <v>17</v>
      </c>
      <c r="F260" s="18" t="s">
        <v>58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4" spans="1:23" x14ac:dyDescent="0.25">
      <c r="H264" s="6"/>
    </row>
  </sheetData>
  <mergeCells count="88">
    <mergeCell ref="D247:F247"/>
    <mergeCell ref="D252:F252"/>
    <mergeCell ref="A224:A260"/>
    <mergeCell ref="B224:B260"/>
    <mergeCell ref="C224:C260"/>
    <mergeCell ref="D224:F224"/>
    <mergeCell ref="D225:F225"/>
    <mergeCell ref="D229:F229"/>
    <mergeCell ref="D230:F230"/>
    <mergeCell ref="D234:F234"/>
    <mergeCell ref="D243:F243"/>
    <mergeCell ref="D245:F245"/>
    <mergeCell ref="D173:F173"/>
    <mergeCell ref="D175:F175"/>
    <mergeCell ref="D177:F177"/>
    <mergeCell ref="D181:F181"/>
    <mergeCell ref="D195:F195"/>
    <mergeCell ref="A189:A223"/>
    <mergeCell ref="B189:B223"/>
    <mergeCell ref="C189:C223"/>
    <mergeCell ref="D189:F189"/>
    <mergeCell ref="D190:F190"/>
    <mergeCell ref="D194:F194"/>
    <mergeCell ref="D216:F216"/>
    <mergeCell ref="D199:F199"/>
    <mergeCell ref="D208:F208"/>
    <mergeCell ref="D210:F210"/>
    <mergeCell ref="D212:F212"/>
    <mergeCell ref="D141:F141"/>
    <mergeCell ref="D145:F145"/>
    <mergeCell ref="A153:A188"/>
    <mergeCell ref="B153:B188"/>
    <mergeCell ref="C153:C188"/>
    <mergeCell ref="D153:F153"/>
    <mergeCell ref="D154:F154"/>
    <mergeCell ref="D158:F158"/>
    <mergeCell ref="D159:F159"/>
    <mergeCell ref="D164:F164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D137:F137"/>
    <mergeCell ref="D139:F139"/>
    <mergeCell ref="D101:F101"/>
    <mergeCell ref="D103:F103"/>
    <mergeCell ref="D105:F105"/>
    <mergeCell ref="D109:F109"/>
    <mergeCell ref="D69:F69"/>
    <mergeCell ref="D73:F73"/>
    <mergeCell ref="A81:A116"/>
    <mergeCell ref="B81:B116"/>
    <mergeCell ref="C81:C116"/>
    <mergeCell ref="D81:F81"/>
    <mergeCell ref="D82:F82"/>
    <mergeCell ref="D86:F86"/>
    <mergeCell ref="D87:F87"/>
    <mergeCell ref="D92:F92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15:F15"/>
    <mergeCell ref="D20:F20"/>
    <mergeCell ref="D29:F29"/>
    <mergeCell ref="D31:F31"/>
    <mergeCell ref="D33:F33"/>
    <mergeCell ref="D37:F37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Краснополянская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2022-02-24T01:53:53Z</cp:lastPrinted>
  <dcterms:created xsi:type="dcterms:W3CDTF">2020-03-18T15:13:28Z</dcterms:created>
  <dcterms:modified xsi:type="dcterms:W3CDTF">2023-03-05T16:08:10Z</dcterms:modified>
</cp:coreProperties>
</file>