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Крутоярская СОШ 2022" sheetId="1" r:id="rId1"/>
  </sheets>
  <calcPr calcId="145621"/>
</workbook>
</file>

<file path=xl/calcChain.xml><?xml version="1.0" encoding="utf-8"?>
<calcChain xmlns="http://schemas.openxmlformats.org/spreadsheetml/2006/main">
  <c r="F130" i="1" l="1"/>
  <c r="F129" i="1"/>
  <c r="F128" i="1"/>
  <c r="F127" i="1"/>
  <c r="F93" i="1"/>
  <c r="F92" i="1"/>
  <c r="F91" i="1"/>
  <c r="F90" i="1"/>
  <c r="F56" i="1"/>
  <c r="F55" i="1"/>
  <c r="F54" i="1"/>
  <c r="F53" i="1"/>
  <c r="F19" i="1"/>
  <c r="F18" i="1"/>
  <c r="F17" i="1"/>
  <c r="F16" i="1"/>
  <c r="F159" i="1"/>
  <c r="F146" i="1"/>
  <c r="F110" i="1"/>
  <c r="F73" i="1"/>
  <c r="F36" i="1"/>
  <c r="F86" i="1"/>
  <c r="F49" i="1"/>
  <c r="F12" i="1"/>
  <c r="F153" i="1" l="1"/>
  <c r="F133" i="1"/>
  <c r="F132" i="1"/>
  <c r="F119" i="1"/>
  <c r="F118" i="1"/>
  <c r="F117" i="1"/>
  <c r="F116" i="1"/>
  <c r="F115" i="1"/>
  <c r="F114" i="1"/>
  <c r="F113" i="1"/>
  <c r="F107" i="1"/>
  <c r="F103" i="1"/>
  <c r="F102" i="1"/>
  <c r="F101" i="1"/>
  <c r="F100" i="1"/>
  <c r="F99" i="1"/>
  <c r="F98" i="1"/>
  <c r="F97" i="1"/>
  <c r="F96" i="1"/>
  <c r="F95" i="1"/>
  <c r="F81" i="1"/>
  <c r="F82" i="1"/>
  <c r="F79" i="1"/>
  <c r="F78" i="1"/>
  <c r="F77" i="1"/>
  <c r="F76" i="1"/>
  <c r="F74" i="1"/>
  <c r="F66" i="1"/>
  <c r="F65" i="1"/>
  <c r="F64" i="1"/>
  <c r="F63" i="1"/>
  <c r="F62" i="1"/>
  <c r="F61" i="1"/>
  <c r="F60" i="1"/>
  <c r="F59" i="1"/>
  <c r="F58" i="1"/>
  <c r="F45" i="1"/>
  <c r="F44" i="1"/>
  <c r="F43" i="1"/>
  <c r="F42" i="1"/>
  <c r="F41" i="1"/>
  <c r="F40" i="1"/>
  <c r="F39" i="1"/>
  <c r="F33" i="1" l="1"/>
  <c r="F29" i="1"/>
  <c r="F28" i="1"/>
  <c r="F27" i="1"/>
  <c r="F26" i="1"/>
  <c r="F25" i="1"/>
  <c r="F24" i="1"/>
  <c r="F23" i="1"/>
  <c r="F22" i="1"/>
  <c r="F21" i="1"/>
  <c r="F155" i="1" l="1"/>
  <c r="F195" i="1" l="1"/>
  <c r="F160" i="1"/>
  <c r="F147" i="1"/>
  <c r="F111" i="1"/>
  <c r="F87" i="1"/>
  <c r="F80" i="1"/>
  <c r="F70" i="1"/>
  <c r="F50" i="1"/>
  <c r="F37" i="1"/>
  <c r="F13" i="1"/>
</calcChain>
</file>

<file path=xl/sharedStrings.xml><?xml version="1.0" encoding="utf-8"?>
<sst xmlns="http://schemas.openxmlformats.org/spreadsheetml/2006/main" count="473" uniqueCount="76">
  <si>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</si>
  <si>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</si>
  <si>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"Крутоярская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</si>
  <si>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</si>
  <si>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</si>
  <si>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</si>
  <si>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</si>
  <si>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</si>
  <si>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</si>
  <si>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</si>
  <si>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</si>
  <si>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</si>
  <si>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</si>
  <si>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</si>
  <si>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</si>
  <si>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</si>
  <si>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</si>
  <si>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</si>
  <si>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</si>
  <si>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</si>
  <si>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</si>
  <si>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</si>
  <si>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</si>
  <si>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</si>
  <si>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</si>
  <si>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</si>
  <si>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</si>
  <si>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</si>
  <si>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</si>
  <si>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</si>
  <si>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</si>
  <si>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</si>
  <si>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помещения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</si>
  <si>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</si>
  <si>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</si>
  <si>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</si>
  <si>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заправка огнетушителей</t>
  </si>
  <si>
    <t xml:space="preserve">монтаж пуско-наладка и тестирование радиосистемы передачи извещений </t>
  </si>
  <si>
    <t>лицензирование школы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</si>
  <si>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</si>
  <si>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</si>
  <si>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</si>
  <si>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</si>
  <si>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</si>
  <si>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</si>
  <si>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</si>
  <si>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</si>
  <si>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</si>
  <si>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 и учебники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</si>
  <si>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</si>
  <si>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</si>
  <si>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</si>
  <si>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</si>
  <si>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</si>
  <si>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</si>
  <si>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</si>
  <si>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</si>
  <si>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</si>
  <si>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</si>
  <si>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</si>
  <si>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</si>
  <si>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м2</t>
  </si>
  <si>
    <t>лабораторные исследования</t>
  </si>
  <si>
    <t>Канцелярские принадлежности</t>
  </si>
  <si>
    <t>приобретение классных журналов с 10-11классы</t>
  </si>
  <si>
    <t>Продукты питания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</si>
  <si>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</si>
  <si>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</si>
  <si>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</si>
  <si>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</si>
  <si>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</si>
  <si>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</si>
  <si>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</si>
  <si>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</si>
  <si>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Предоставление питания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</si>
  <si>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11.07.2022  №19/7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</si>
</sst>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2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3" fontId="0" fillId="0" borderId="0" xfId="0" applyNumberForma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3" fillId="0" borderId="0" xfId="1" applyFont="1" applyFill="1" applyAlignment="1">
      <alignment horizontal="center" vertical="center"/>
    </xf>
    <xf numFmtId="164" fontId="5" fillId="0" borderId="2" xfId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164" fontId="3" fillId="0" borderId="0" xfId="1" applyFont="1" applyAlignment="1">
      <alignment horizontal="center" vertical="center"/>
    </xf>
    <xf numFmtId="164" fontId="0" fillId="0" borderId="0" xfId="0" applyNumberFormat="1"/>
    <xf numFmtId="4" fontId="13" fillId="2" borderId="0" xfId="4" applyNumberFormat="1" applyFont="1" applyFill="1" applyBorder="1" applyAlignment="1">
      <alignment horizontal="right" vertical="top"/>
    </xf>
    <xf numFmtId="0" fontId="0" fillId="2" borderId="0" xfId="0" applyFill="1" applyBorder="1"/>
    <xf numFmtId="2" fontId="0" fillId="2" borderId="0" xfId="0" applyNumberFormat="1" applyFill="1" applyBorder="1"/>
    <xf numFmtId="4" fontId="12" fillId="2" borderId="0" xfId="4" applyNumberFormat="1" applyFont="1" applyFill="1" applyBorder="1" applyAlignment="1">
      <alignment horizontal="right" vertical="top"/>
    </xf>
    <xf numFmtId="43" fontId="0" fillId="2" borderId="0" xfId="0" applyNumberFormat="1" applyFill="1" applyBorder="1"/>
    <xf numFmtId="164" fontId="0" fillId="2" borderId="0" xfId="1" applyFont="1" applyFill="1" applyBorder="1"/>
    <xf numFmtId="4" fontId="0" fillId="2" borderId="0" xfId="0" applyNumberFormat="1" applyFill="1" applyBorder="1"/>
    <xf numFmtId="164" fontId="0" fillId="2" borderId="0" xfId="0" applyNumberFormat="1" applyFill="1" applyBorder="1"/>
    <xf numFmtId="4" fontId="0" fillId="0" borderId="9" xfId="0" applyNumberFormat="1" applyBorder="1" applyAlignment="1">
      <alignment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_Крутоярская СОШ 202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30"/>
  <sheetViews>
    <sheetView tabSelected="1" workbookViewId="0">
      <selection activeCell="D7" sqref="D7"/>
    </sheetView>
  </sheetViews>
  <sheetFormatPr defaultColWidth="9.140625" defaultRowHeight="15" x14ac:dyDescent="0.25"/>
  <cols>
    <col min="1" max="1" width="27" customWidth="1"/>
    <col min="2" max="2" width="12.140625" style="31" customWidth="1"/>
    <col min="3" max="3" width="11.140625" style="31" customWidth="1"/>
    <col min="4" max="4" width="39" customWidth="1"/>
    <col min="5" max="5" width="17.7109375" customWidth="1"/>
    <col min="6" max="6" width="15.42578125" style="35" customWidth="1"/>
    <col min="7" max="7" width="14.5703125" style="5" bestFit="1" customWidth="1"/>
    <col min="8" max="8" width="16.5703125" customWidth="1"/>
    <col min="9" max="9" width="11.42578125" bestFit="1" customWidth="1"/>
    <col min="10" max="10" width="11" bestFit="1" customWidth="1"/>
    <col min="11" max="11" width="14.8554687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0"/>
      <c r="C1" s="30"/>
      <c r="D1" s="2"/>
      <c r="E1" s="46" t="s">
        <v>0</v>
      </c>
      <c r="F1" s="46"/>
      <c r="G1" s="3"/>
    </row>
    <row r="2" spans="1:12" ht="15.75" customHeight="1" x14ac:dyDescent="0.25">
      <c r="A2" s="1"/>
      <c r="B2" s="30"/>
      <c r="C2" s="30"/>
      <c r="D2" s="2"/>
      <c r="E2" s="46" t="s">
        <v>75</v>
      </c>
      <c r="F2" s="46"/>
      <c r="G2" s="3"/>
      <c r="I2" s="4"/>
      <c r="J2" s="4"/>
      <c r="K2" s="4"/>
      <c r="L2" s="4"/>
    </row>
    <row r="3" spans="1:12" hidden="1" x14ac:dyDescent="0.25">
      <c r="A3" s="1"/>
      <c r="B3" s="30"/>
      <c r="C3" s="30"/>
      <c r="D3" s="1"/>
      <c r="E3" s="1"/>
      <c r="F3" s="32"/>
    </row>
    <row r="4" spans="1:12" x14ac:dyDescent="0.25">
      <c r="A4" s="1"/>
      <c r="B4" s="30"/>
      <c r="C4" s="30"/>
      <c r="D4" s="1"/>
      <c r="E4" s="1"/>
      <c r="F4" s="32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2</v>
      </c>
      <c r="B6" s="48"/>
      <c r="C6" s="48"/>
      <c r="D6" s="48"/>
      <c r="E6" s="48"/>
      <c r="F6" s="48"/>
      <c r="G6"/>
    </row>
    <row r="7" spans="1:12" ht="105.75" customHeight="1" x14ac:dyDescent="0.25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33" t="s">
        <v>8</v>
      </c>
      <c r="G7"/>
      <c r="H7" s="38"/>
      <c r="I7" s="38"/>
      <c r="J7" s="38"/>
    </row>
    <row r="8" spans="1:12" ht="13.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34">
        <v>6</v>
      </c>
      <c r="G8"/>
      <c r="H8" s="38"/>
      <c r="I8" s="38"/>
      <c r="J8" s="38"/>
    </row>
    <row r="9" spans="1:12" ht="27" customHeight="1" x14ac:dyDescent="0.25">
      <c r="A9" s="49" t="s">
        <v>9</v>
      </c>
      <c r="B9" s="52" t="s">
        <v>10</v>
      </c>
      <c r="C9" s="52" t="s">
        <v>11</v>
      </c>
      <c r="D9" s="55" t="s">
        <v>12</v>
      </c>
      <c r="E9" s="56"/>
      <c r="F9" s="57"/>
      <c r="G9"/>
      <c r="H9" s="38"/>
      <c r="I9" s="38"/>
      <c r="J9" s="38"/>
    </row>
    <row r="10" spans="1:12" x14ac:dyDescent="0.25">
      <c r="A10" s="50"/>
      <c r="B10" s="53"/>
      <c r="C10" s="53"/>
      <c r="D10" s="58" t="s">
        <v>13</v>
      </c>
      <c r="E10" s="58"/>
      <c r="F10" s="58"/>
      <c r="G10"/>
      <c r="H10" s="38"/>
      <c r="I10" s="38"/>
      <c r="J10" s="38"/>
    </row>
    <row r="11" spans="1:12" x14ac:dyDescent="0.25">
      <c r="A11" s="50"/>
      <c r="B11" s="53"/>
      <c r="C11" s="53"/>
      <c r="D11" s="8" t="s">
        <v>14</v>
      </c>
      <c r="E11" s="9" t="s">
        <v>15</v>
      </c>
      <c r="F11" s="28">
        <v>46.61</v>
      </c>
      <c r="G11"/>
      <c r="H11" s="38"/>
      <c r="I11" s="38"/>
      <c r="J11" s="38"/>
    </row>
    <row r="12" spans="1:12" x14ac:dyDescent="0.25">
      <c r="A12" s="50"/>
      <c r="B12" s="53"/>
      <c r="C12" s="53"/>
      <c r="D12" s="10" t="s">
        <v>16</v>
      </c>
      <c r="E12" s="11" t="s">
        <v>17</v>
      </c>
      <c r="F12" s="28">
        <f>21350900*0.21/115</f>
        <v>38988.6</v>
      </c>
      <c r="H12" s="39"/>
      <c r="I12" s="38"/>
      <c r="J12" s="38"/>
    </row>
    <row r="13" spans="1:12" x14ac:dyDescent="0.25">
      <c r="A13" s="50"/>
      <c r="B13" s="53"/>
      <c r="C13" s="53"/>
      <c r="D13" s="12" t="s">
        <v>18</v>
      </c>
      <c r="E13" s="11" t="s">
        <v>17</v>
      </c>
      <c r="F13" s="28">
        <f>F12*30.2%</f>
        <v>11774.557199999999</v>
      </c>
      <c r="G13"/>
      <c r="H13" s="40"/>
      <c r="I13" s="38"/>
      <c r="J13" s="38"/>
    </row>
    <row r="14" spans="1:12" x14ac:dyDescent="0.25">
      <c r="A14" s="50"/>
      <c r="B14" s="53"/>
      <c r="C14" s="53"/>
      <c r="D14" s="55" t="s">
        <v>19</v>
      </c>
      <c r="E14" s="56"/>
      <c r="F14" s="57"/>
      <c r="G14"/>
      <c r="H14" s="40"/>
      <c r="I14" s="38"/>
      <c r="J14" s="38"/>
    </row>
    <row r="15" spans="1:12" x14ac:dyDescent="0.25">
      <c r="A15" s="50"/>
      <c r="B15" s="53"/>
      <c r="C15" s="53"/>
      <c r="D15" s="58" t="s">
        <v>20</v>
      </c>
      <c r="E15" s="58"/>
      <c r="F15" s="58"/>
      <c r="G15"/>
      <c r="H15" s="40"/>
      <c r="I15" s="38"/>
      <c r="J15" s="38"/>
    </row>
    <row r="16" spans="1:12" x14ac:dyDescent="0.25">
      <c r="A16" s="50"/>
      <c r="B16" s="53"/>
      <c r="C16" s="53"/>
      <c r="D16" s="13" t="s">
        <v>21</v>
      </c>
      <c r="E16" s="14" t="s">
        <v>22</v>
      </c>
      <c r="F16" s="28">
        <f>2248432*0.21/115</f>
        <v>4105.8323478260863</v>
      </c>
      <c r="G16"/>
      <c r="H16" s="41"/>
      <c r="I16" s="38"/>
      <c r="J16" s="38"/>
    </row>
    <row r="17" spans="1:10" x14ac:dyDescent="0.25">
      <c r="A17" s="50"/>
      <c r="B17" s="53"/>
      <c r="C17" s="53"/>
      <c r="D17" s="13" t="s">
        <v>23</v>
      </c>
      <c r="E17" s="14" t="s">
        <v>24</v>
      </c>
      <c r="F17" s="28">
        <f>3750057*0.21/115</f>
        <v>6847.9301739130433</v>
      </c>
      <c r="G17" s="15"/>
      <c r="H17" s="44"/>
      <c r="I17" s="38"/>
      <c r="J17" s="38"/>
    </row>
    <row r="18" spans="1:10" ht="16.5" thickBot="1" x14ac:dyDescent="0.3">
      <c r="A18" s="50"/>
      <c r="B18" s="53"/>
      <c r="C18" s="53"/>
      <c r="D18" s="13" t="s">
        <v>25</v>
      </c>
      <c r="E18" s="14" t="s">
        <v>26</v>
      </c>
      <c r="F18" s="28">
        <f>250431*0.21/115</f>
        <v>457.30878260869559</v>
      </c>
      <c r="G18"/>
      <c r="H18" s="42"/>
      <c r="I18" s="38"/>
      <c r="J18" s="38"/>
    </row>
    <row r="19" spans="1:10" ht="15.75" thickBot="1" x14ac:dyDescent="0.3">
      <c r="A19" s="50"/>
      <c r="B19" s="53"/>
      <c r="C19" s="53"/>
      <c r="D19" s="13" t="s">
        <v>27</v>
      </c>
      <c r="E19" s="14" t="s">
        <v>28</v>
      </c>
      <c r="F19" s="28">
        <f>0.21*3003557.1/115</f>
        <v>5484.7564434782616</v>
      </c>
      <c r="G19"/>
      <c r="H19" s="45"/>
      <c r="I19" s="38"/>
      <c r="J19" s="38"/>
    </row>
    <row r="20" spans="1:10" ht="34.5" customHeight="1" x14ac:dyDescent="0.25">
      <c r="A20" s="50"/>
      <c r="B20" s="53"/>
      <c r="C20" s="53"/>
      <c r="D20" s="55" t="s">
        <v>29</v>
      </c>
      <c r="E20" s="56"/>
      <c r="F20" s="57"/>
      <c r="G20"/>
      <c r="H20" s="41"/>
      <c r="I20" s="38"/>
      <c r="J20" s="41"/>
    </row>
    <row r="21" spans="1:10" x14ac:dyDescent="0.25">
      <c r="A21" s="50"/>
      <c r="B21" s="53"/>
      <c r="C21" s="53"/>
      <c r="D21" s="16" t="s">
        <v>30</v>
      </c>
      <c r="E21" s="17" t="s">
        <v>28</v>
      </c>
      <c r="F21" s="29">
        <f>29000*0.46/115</f>
        <v>116</v>
      </c>
      <c r="H21" s="38"/>
      <c r="I21" s="38"/>
      <c r="J21" s="38"/>
    </row>
    <row r="22" spans="1:10" x14ac:dyDescent="0.25">
      <c r="A22" s="50"/>
      <c r="B22" s="53"/>
      <c r="C22" s="53"/>
      <c r="D22" s="16" t="s">
        <v>31</v>
      </c>
      <c r="E22" s="17" t="s">
        <v>28</v>
      </c>
      <c r="F22" s="29">
        <f>(35000+5000+800)*0.46/115</f>
        <v>163.19999999999999</v>
      </c>
      <c r="H22" s="38"/>
      <c r="I22" s="38"/>
      <c r="J22" s="38"/>
    </row>
    <row r="23" spans="1:10" x14ac:dyDescent="0.25">
      <c r="A23" s="50"/>
      <c r="B23" s="53"/>
      <c r="C23" s="53"/>
      <c r="D23" s="18" t="s">
        <v>32</v>
      </c>
      <c r="E23" s="6" t="s">
        <v>28</v>
      </c>
      <c r="F23" s="28">
        <f>0.53*24500/115</f>
        <v>112.91304347826087</v>
      </c>
      <c r="G23"/>
      <c r="H23" s="38"/>
      <c r="I23" s="38"/>
      <c r="J23" s="38"/>
    </row>
    <row r="24" spans="1:10" x14ac:dyDescent="0.25">
      <c r="A24" s="50"/>
      <c r="B24" s="53"/>
      <c r="C24" s="53"/>
      <c r="D24" s="18" t="s">
        <v>33</v>
      </c>
      <c r="E24" s="17" t="s">
        <v>28</v>
      </c>
      <c r="F24" s="28">
        <f>90000*0.53/115</f>
        <v>414.78260869565219</v>
      </c>
      <c r="G24"/>
      <c r="H24" s="38"/>
      <c r="I24" s="38"/>
      <c r="J24" s="38"/>
    </row>
    <row r="25" spans="1:10" ht="39" x14ac:dyDescent="0.25">
      <c r="A25" s="50"/>
      <c r="B25" s="53"/>
      <c r="C25" s="53"/>
      <c r="D25" s="19" t="s">
        <v>34</v>
      </c>
      <c r="E25" s="17" t="s">
        <v>28</v>
      </c>
      <c r="F25" s="28">
        <f>24000*0.53/115</f>
        <v>110.60869565217391</v>
      </c>
      <c r="G25"/>
      <c r="H25" s="38"/>
      <c r="I25" s="38"/>
      <c r="J25" s="38"/>
    </row>
    <row r="26" spans="1:10" x14ac:dyDescent="0.25">
      <c r="A26" s="50"/>
      <c r="B26" s="53"/>
      <c r="C26" s="53"/>
      <c r="D26" s="18" t="s">
        <v>35</v>
      </c>
      <c r="E26" s="17" t="s">
        <v>28</v>
      </c>
      <c r="F26" s="28">
        <f>136500*0.53/115</f>
        <v>629.08695652173913</v>
      </c>
      <c r="G26"/>
      <c r="H26" s="38"/>
      <c r="I26" s="38"/>
      <c r="J26" s="38"/>
    </row>
    <row r="27" spans="1:10" x14ac:dyDescent="0.25">
      <c r="A27" s="50"/>
      <c r="B27" s="53"/>
      <c r="C27" s="53"/>
      <c r="D27" s="18" t="s">
        <v>36</v>
      </c>
      <c r="E27" s="17" t="s">
        <v>28</v>
      </c>
      <c r="F27" s="28">
        <f>6200*0.53/115</f>
        <v>28.57391304347826</v>
      </c>
      <c r="G27"/>
      <c r="H27" s="38"/>
      <c r="I27" s="38"/>
      <c r="J27" s="38"/>
    </row>
    <row r="28" spans="1:10" ht="26.25" x14ac:dyDescent="0.25">
      <c r="A28" s="50"/>
      <c r="B28" s="53"/>
      <c r="C28" s="53"/>
      <c r="D28" s="19" t="s">
        <v>37</v>
      </c>
      <c r="E28" s="17" t="s">
        <v>28</v>
      </c>
      <c r="F28" s="28">
        <f>26000*0.53/115</f>
        <v>119.82608695652173</v>
      </c>
      <c r="G28"/>
      <c r="H28" s="38"/>
      <c r="I28" s="38"/>
      <c r="J28" s="38"/>
    </row>
    <row r="29" spans="1:10" x14ac:dyDescent="0.25">
      <c r="A29" s="50"/>
      <c r="B29" s="53"/>
      <c r="C29" s="53"/>
      <c r="D29" s="19" t="s">
        <v>38</v>
      </c>
      <c r="E29" s="17" t="s">
        <v>28</v>
      </c>
      <c r="F29" s="28">
        <f>0.53*100000/115</f>
        <v>460.86956521739131</v>
      </c>
      <c r="G29"/>
      <c r="H29" s="38"/>
      <c r="I29" s="38"/>
      <c r="J29" s="38"/>
    </row>
    <row r="30" spans="1:10" ht="29.25" customHeight="1" x14ac:dyDescent="0.25">
      <c r="A30" s="50"/>
      <c r="B30" s="53"/>
      <c r="C30" s="53"/>
      <c r="D30" s="55" t="s">
        <v>39</v>
      </c>
      <c r="E30" s="56"/>
      <c r="F30" s="57"/>
      <c r="G30"/>
      <c r="H30" s="38"/>
      <c r="I30" s="38"/>
      <c r="J30" s="38"/>
    </row>
    <row r="31" spans="1:10" x14ac:dyDescent="0.25">
      <c r="A31" s="50"/>
      <c r="B31" s="53"/>
      <c r="C31" s="53"/>
      <c r="D31" s="18" t="s">
        <v>40</v>
      </c>
      <c r="E31" s="20" t="s">
        <v>41</v>
      </c>
      <c r="F31" s="28">
        <v>6</v>
      </c>
      <c r="G31"/>
      <c r="H31" s="43"/>
      <c r="I31" s="38"/>
      <c r="J31" s="38"/>
    </row>
    <row r="32" spans="1:10" x14ac:dyDescent="0.25">
      <c r="A32" s="50"/>
      <c r="B32" s="53"/>
      <c r="C32" s="53"/>
      <c r="D32" s="55" t="s">
        <v>42</v>
      </c>
      <c r="E32" s="56"/>
      <c r="F32" s="57"/>
      <c r="G32"/>
      <c r="H32" s="38"/>
      <c r="I32" s="38"/>
      <c r="J32" s="38"/>
    </row>
    <row r="33" spans="1:26" x14ac:dyDescent="0.25">
      <c r="A33" s="50"/>
      <c r="B33" s="53"/>
      <c r="C33" s="53"/>
      <c r="D33" s="21" t="s">
        <v>43</v>
      </c>
      <c r="E33" s="22" t="s">
        <v>28</v>
      </c>
      <c r="F33" s="28">
        <f>0.53*172500/115</f>
        <v>795</v>
      </c>
      <c r="G33"/>
      <c r="H33" s="38"/>
      <c r="I33" s="38"/>
      <c r="J33" s="38"/>
    </row>
    <row r="34" spans="1:26" ht="30" customHeight="1" x14ac:dyDescent="0.25">
      <c r="A34" s="50"/>
      <c r="B34" s="53"/>
      <c r="C34" s="53"/>
      <c r="D34" s="58" t="s">
        <v>45</v>
      </c>
      <c r="E34" s="58"/>
      <c r="F34" s="58"/>
      <c r="G34"/>
      <c r="H34" s="38"/>
      <c r="I34" s="38"/>
      <c r="J34" s="38"/>
    </row>
    <row r="35" spans="1:26" ht="26.25" x14ac:dyDescent="0.25">
      <c r="A35" s="50"/>
      <c r="B35" s="53"/>
      <c r="C35" s="53"/>
      <c r="D35" s="23" t="s">
        <v>46</v>
      </c>
      <c r="E35" s="17" t="s">
        <v>15</v>
      </c>
      <c r="F35" s="28">
        <v>23.05</v>
      </c>
      <c r="G35"/>
      <c r="H35" s="38"/>
      <c r="I35" s="38"/>
      <c r="J35" s="38"/>
    </row>
    <row r="36" spans="1:26" x14ac:dyDescent="0.25">
      <c r="A36" s="50"/>
      <c r="B36" s="53"/>
      <c r="C36" s="53"/>
      <c r="D36" s="10" t="s">
        <v>16</v>
      </c>
      <c r="E36" s="11" t="s">
        <v>17</v>
      </c>
      <c r="F36" s="28">
        <f>7669400*0.21/115</f>
        <v>14004.991304347826</v>
      </c>
      <c r="G36"/>
      <c r="H36" s="37"/>
      <c r="I36" s="38"/>
      <c r="J36" s="38"/>
    </row>
    <row r="37" spans="1:26" x14ac:dyDescent="0.25">
      <c r="A37" s="50"/>
      <c r="B37" s="53"/>
      <c r="C37" s="53"/>
      <c r="D37" s="12" t="s">
        <v>18</v>
      </c>
      <c r="E37" s="11" t="s">
        <v>17</v>
      </c>
      <c r="F37" s="28">
        <f>F36*30.2%</f>
        <v>4229.507373913043</v>
      </c>
      <c r="G37"/>
      <c r="H37" s="38"/>
      <c r="I37" s="38"/>
      <c r="J37" s="38"/>
    </row>
    <row r="38" spans="1:26" x14ac:dyDescent="0.25">
      <c r="A38" s="50"/>
      <c r="B38" s="53"/>
      <c r="C38" s="53"/>
      <c r="D38" s="58" t="s">
        <v>47</v>
      </c>
      <c r="E38" s="58"/>
      <c r="F38" s="58"/>
      <c r="G38"/>
      <c r="H38" s="38"/>
      <c r="I38" s="38"/>
      <c r="J38" s="38"/>
    </row>
    <row r="39" spans="1:26" x14ac:dyDescent="0.25">
      <c r="A39" s="50"/>
      <c r="B39" s="53"/>
      <c r="C39" s="53"/>
      <c r="D39" s="24" t="s">
        <v>48</v>
      </c>
      <c r="E39" s="25" t="s">
        <v>17</v>
      </c>
      <c r="F39" s="28">
        <f>(35864.58+476864.69)*0.53/115</f>
        <v>2363.0131573913045</v>
      </c>
      <c r="G39"/>
      <c r="H39" s="38"/>
      <c r="I39" s="38"/>
      <c r="J39" s="38"/>
    </row>
    <row r="40" spans="1:26" x14ac:dyDescent="0.25">
      <c r="A40" s="50"/>
      <c r="B40" s="53"/>
      <c r="C40" s="53"/>
      <c r="D40" s="24" t="s">
        <v>49</v>
      </c>
      <c r="E40" s="25" t="s">
        <v>17</v>
      </c>
      <c r="F40" s="28">
        <f>60000*0.53/115</f>
        <v>276.52173913043481</v>
      </c>
      <c r="G40"/>
      <c r="H40" s="38"/>
      <c r="I40" s="38"/>
      <c r="J40" s="38"/>
    </row>
    <row r="41" spans="1:26" ht="26.25" x14ac:dyDescent="0.25">
      <c r="A41" s="50"/>
      <c r="B41" s="53"/>
      <c r="C41" s="53"/>
      <c r="D41" s="24" t="s">
        <v>50</v>
      </c>
      <c r="E41" s="25" t="s">
        <v>17</v>
      </c>
      <c r="F41" s="28">
        <f>11250*0.53/115</f>
        <v>51.847826086956523</v>
      </c>
      <c r="G41"/>
      <c r="H41" s="38"/>
      <c r="I41" s="38"/>
      <c r="J41" s="38"/>
    </row>
    <row r="42" spans="1:26" ht="39" x14ac:dyDescent="0.25">
      <c r="A42" s="50"/>
      <c r="B42" s="53"/>
      <c r="C42" s="53"/>
      <c r="D42" s="24" t="s">
        <v>51</v>
      </c>
      <c r="E42" s="25" t="s">
        <v>17</v>
      </c>
      <c r="F42" s="28">
        <f>15000*0.53/115</f>
        <v>69.130434782608702</v>
      </c>
      <c r="G42"/>
      <c r="H42" s="38"/>
      <c r="I42" s="38"/>
      <c r="J42" s="38"/>
    </row>
    <row r="43" spans="1:26" x14ac:dyDescent="0.25">
      <c r="A43" s="50"/>
      <c r="B43" s="53"/>
      <c r="C43" s="53"/>
      <c r="D43" s="24" t="s">
        <v>52</v>
      </c>
      <c r="E43" s="25" t="s">
        <v>53</v>
      </c>
      <c r="F43" s="28">
        <f>150*0.53</f>
        <v>79.5</v>
      </c>
      <c r="G43"/>
      <c r="H43" s="38"/>
      <c r="I43" s="38"/>
      <c r="J43" s="38"/>
    </row>
    <row r="44" spans="1:26" ht="26.25" x14ac:dyDescent="0.25">
      <c r="A44" s="50"/>
      <c r="B44" s="53"/>
      <c r="C44" s="53"/>
      <c r="D44" s="24" t="s">
        <v>54</v>
      </c>
      <c r="E44" s="9" t="s">
        <v>17</v>
      </c>
      <c r="F44" s="28">
        <f>0.53*22400/115</f>
        <v>103.23478260869565</v>
      </c>
      <c r="G44"/>
      <c r="H44" s="38"/>
      <c r="I44" s="38"/>
      <c r="J44" s="38"/>
    </row>
    <row r="45" spans="1:26" x14ac:dyDescent="0.25">
      <c r="A45" s="51"/>
      <c r="B45" s="54"/>
      <c r="C45" s="54"/>
      <c r="D45" s="24" t="s">
        <v>35</v>
      </c>
      <c r="E45" s="9" t="s">
        <v>17</v>
      </c>
      <c r="F45" s="28">
        <f>77400*0.46/115</f>
        <v>309.60000000000002</v>
      </c>
      <c r="G45"/>
      <c r="H45" s="38"/>
      <c r="I45" s="38"/>
      <c r="J45" s="38"/>
    </row>
    <row r="46" spans="1:26" s="26" customFormat="1" ht="22.5" customHeight="1" x14ac:dyDescent="0.25">
      <c r="A46" s="49" t="s">
        <v>55</v>
      </c>
      <c r="B46" s="52" t="s">
        <v>56</v>
      </c>
      <c r="C46" s="52" t="s">
        <v>11</v>
      </c>
      <c r="D46" s="55" t="s">
        <v>12</v>
      </c>
      <c r="E46" s="56"/>
      <c r="F46" s="57"/>
      <c r="G46"/>
      <c r="H46" s="38"/>
      <c r="I46" s="38"/>
      <c r="J46" s="38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26" customFormat="1" x14ac:dyDescent="0.25">
      <c r="A47" s="50"/>
      <c r="B47" s="53"/>
      <c r="C47" s="53"/>
      <c r="D47" s="58" t="s">
        <v>13</v>
      </c>
      <c r="E47" s="58"/>
      <c r="F47" s="58"/>
      <c r="G47"/>
      <c r="H47" s="38"/>
      <c r="I47" s="38"/>
      <c r="J47" s="38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26" customFormat="1" x14ac:dyDescent="0.25">
      <c r="A48" s="50"/>
      <c r="B48" s="53"/>
      <c r="C48" s="53"/>
      <c r="D48" s="8" t="s">
        <v>14</v>
      </c>
      <c r="E48" s="9" t="s">
        <v>15</v>
      </c>
      <c r="F48" s="28">
        <v>46.61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26" customFormat="1" x14ac:dyDescent="0.25">
      <c r="A49" s="50"/>
      <c r="B49" s="53"/>
      <c r="C49" s="53"/>
      <c r="D49" s="10" t="s">
        <v>16</v>
      </c>
      <c r="E49" s="11" t="s">
        <v>17</v>
      </c>
      <c r="F49" s="28">
        <f>21350900*0.29/159</f>
        <v>38941.893081761009</v>
      </c>
      <c r="G49" s="5"/>
      <c r="H49" s="15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26" customFormat="1" x14ac:dyDescent="0.25">
      <c r="A50" s="50"/>
      <c r="B50" s="53"/>
      <c r="C50" s="53"/>
      <c r="D50" s="12" t="s">
        <v>18</v>
      </c>
      <c r="E50" s="11" t="s">
        <v>17</v>
      </c>
      <c r="F50" s="28">
        <f>F49*30.2%</f>
        <v>11760.451710691825</v>
      </c>
      <c r="G50"/>
      <c r="H50" s="15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26" customFormat="1" ht="15" customHeight="1" x14ac:dyDescent="0.25">
      <c r="A51" s="50"/>
      <c r="B51" s="53"/>
      <c r="C51" s="53"/>
      <c r="D51" s="55" t="s">
        <v>19</v>
      </c>
      <c r="E51" s="56"/>
      <c r="F51" s="57"/>
      <c r="G51"/>
      <c r="H51" s="15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26" customFormat="1" x14ac:dyDescent="0.25">
      <c r="A52" s="50"/>
      <c r="B52" s="53"/>
      <c r="C52" s="53"/>
      <c r="D52" s="58" t="s">
        <v>20</v>
      </c>
      <c r="E52" s="58"/>
      <c r="F52" s="58"/>
      <c r="G52"/>
      <c r="H52" s="3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26" customFormat="1" x14ac:dyDescent="0.25">
      <c r="A53" s="50"/>
      <c r="B53" s="53"/>
      <c r="C53" s="53"/>
      <c r="D53" s="13" t="s">
        <v>21</v>
      </c>
      <c r="E53" s="14" t="s">
        <v>22</v>
      </c>
      <c r="F53" s="28">
        <f>2248432*0.29/159</f>
        <v>4100.9137106918233</v>
      </c>
      <c r="G53" s="15"/>
      <c r="H53" s="15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26" customFormat="1" x14ac:dyDescent="0.25">
      <c r="A54" s="50"/>
      <c r="B54" s="53"/>
      <c r="C54" s="53"/>
      <c r="D54" s="13" t="s">
        <v>23</v>
      </c>
      <c r="E54" s="14" t="s">
        <v>24</v>
      </c>
      <c r="F54" s="28">
        <f>3750057*0.29/159</f>
        <v>6839.7266037735853</v>
      </c>
      <c r="G54"/>
      <c r="H54" s="5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26" customFormat="1" ht="15.75" x14ac:dyDescent="0.25">
      <c r="A55" s="50"/>
      <c r="B55" s="53"/>
      <c r="C55" s="53"/>
      <c r="D55" s="13" t="s">
        <v>25</v>
      </c>
      <c r="E55" s="14" t="s">
        <v>26</v>
      </c>
      <c r="F55" s="28">
        <f>250431*0.29/159</f>
        <v>456.76094339622637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26" customFormat="1" x14ac:dyDescent="0.25">
      <c r="A56" s="50"/>
      <c r="B56" s="53"/>
      <c r="C56" s="53"/>
      <c r="D56" s="13" t="s">
        <v>27</v>
      </c>
      <c r="E56" s="14" t="s">
        <v>28</v>
      </c>
      <c r="F56" s="28">
        <f>0.29*3003557.1/159</f>
        <v>5478.1859056603771</v>
      </c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26" customFormat="1" ht="29.25" customHeight="1" x14ac:dyDescent="0.25">
      <c r="A57" s="50"/>
      <c r="B57" s="53"/>
      <c r="C57" s="53"/>
      <c r="D57" s="55" t="s">
        <v>29</v>
      </c>
      <c r="E57" s="56"/>
      <c r="F57" s="57"/>
      <c r="G57"/>
      <c r="H57" s="15"/>
      <c r="I57" s="15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26" customFormat="1" x14ac:dyDescent="0.25">
      <c r="A58" s="50"/>
      <c r="B58" s="53"/>
      <c r="C58" s="53"/>
      <c r="D58" s="16" t="s">
        <v>30</v>
      </c>
      <c r="E58" s="17" t="s">
        <v>28</v>
      </c>
      <c r="F58" s="29">
        <f>29000*0.45/159</f>
        <v>82.075471698113205</v>
      </c>
      <c r="G58" s="5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26" customFormat="1" x14ac:dyDescent="0.25">
      <c r="A59" s="50"/>
      <c r="B59" s="53"/>
      <c r="C59" s="53"/>
      <c r="D59" s="16" t="s">
        <v>31</v>
      </c>
      <c r="E59" s="17" t="s">
        <v>28</v>
      </c>
      <c r="F59" s="29">
        <f>(35000+5000+800)*0.45/159</f>
        <v>115.47169811320755</v>
      </c>
      <c r="G59" s="5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26" customFormat="1" x14ac:dyDescent="0.25">
      <c r="A60" s="50"/>
      <c r="B60" s="53"/>
      <c r="C60" s="53"/>
      <c r="D60" s="18" t="s">
        <v>32</v>
      </c>
      <c r="E60" s="6" t="s">
        <v>28</v>
      </c>
      <c r="F60" s="28">
        <f>0.53*24500/159</f>
        <v>81.666666666666671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26" customFormat="1" x14ac:dyDescent="0.25">
      <c r="A61" s="50"/>
      <c r="B61" s="53"/>
      <c r="C61" s="53"/>
      <c r="D61" s="18" t="s">
        <v>33</v>
      </c>
      <c r="E61" s="17" t="s">
        <v>28</v>
      </c>
      <c r="F61" s="28">
        <f>90000*0.53/159</f>
        <v>300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26" customFormat="1" ht="39" x14ac:dyDescent="0.25">
      <c r="A62" s="50"/>
      <c r="B62" s="53"/>
      <c r="C62" s="53"/>
      <c r="D62" s="19" t="s">
        <v>34</v>
      </c>
      <c r="E62" s="17" t="s">
        <v>28</v>
      </c>
      <c r="F62" s="28">
        <f>24000*0.53/159</f>
        <v>80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26" customFormat="1" x14ac:dyDescent="0.25">
      <c r="A63" s="50"/>
      <c r="B63" s="53"/>
      <c r="C63" s="53"/>
      <c r="D63" s="18" t="s">
        <v>35</v>
      </c>
      <c r="E63" s="17" t="s">
        <v>28</v>
      </c>
      <c r="F63" s="28">
        <f>136500*0.53/159</f>
        <v>455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26" customFormat="1" x14ac:dyDescent="0.25">
      <c r="A64" s="50"/>
      <c r="B64" s="53"/>
      <c r="C64" s="53"/>
      <c r="D64" s="18" t="s">
        <v>36</v>
      </c>
      <c r="E64" s="17" t="s">
        <v>28</v>
      </c>
      <c r="F64" s="28">
        <f>6200*0.53/159</f>
        <v>20.666666666666668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26" customFormat="1" ht="26.25" x14ac:dyDescent="0.25">
      <c r="A65" s="50"/>
      <c r="B65" s="53"/>
      <c r="C65" s="53"/>
      <c r="D65" s="19" t="s">
        <v>37</v>
      </c>
      <c r="E65" s="17" t="s">
        <v>28</v>
      </c>
      <c r="F65" s="28">
        <f>26000*0.53/159</f>
        <v>86.666666666666671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26" customFormat="1" x14ac:dyDescent="0.25">
      <c r="A66" s="50"/>
      <c r="B66" s="53"/>
      <c r="C66" s="53"/>
      <c r="D66" s="19" t="s">
        <v>38</v>
      </c>
      <c r="E66" s="17" t="s">
        <v>28</v>
      </c>
      <c r="F66" s="28">
        <f>0.53*100000/159</f>
        <v>333.33333333333331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26" customFormat="1" ht="29.25" customHeight="1" x14ac:dyDescent="0.25">
      <c r="A67" s="50"/>
      <c r="B67" s="53"/>
      <c r="C67" s="53"/>
      <c r="D67" s="55" t="s">
        <v>39</v>
      </c>
      <c r="E67" s="56"/>
      <c r="F67" s="5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26" customFormat="1" x14ac:dyDescent="0.25">
      <c r="A68" s="50"/>
      <c r="B68" s="53"/>
      <c r="C68" s="53"/>
      <c r="D68" s="18" t="s">
        <v>40</v>
      </c>
      <c r="E68" s="20" t="s">
        <v>41</v>
      </c>
      <c r="F68" s="28">
        <v>6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26" customFormat="1" x14ac:dyDescent="0.25">
      <c r="A69" s="50"/>
      <c r="B69" s="53"/>
      <c r="C69" s="53"/>
      <c r="D69" s="55" t="s">
        <v>42</v>
      </c>
      <c r="E69" s="56"/>
      <c r="F69" s="57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26" customFormat="1" x14ac:dyDescent="0.25">
      <c r="A70" s="50"/>
      <c r="B70" s="53"/>
      <c r="C70" s="53"/>
      <c r="D70" s="21" t="s">
        <v>43</v>
      </c>
      <c r="E70" s="22" t="s">
        <v>28</v>
      </c>
      <c r="F70" s="28">
        <f>172500*0.53</f>
        <v>91425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26" customFormat="1" ht="30" customHeight="1" x14ac:dyDescent="0.25">
      <c r="A71" s="50"/>
      <c r="B71" s="53"/>
      <c r="C71" s="53"/>
      <c r="D71" s="58" t="s">
        <v>45</v>
      </c>
      <c r="E71" s="58"/>
      <c r="F71" s="58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26" customFormat="1" ht="26.25" x14ac:dyDescent="0.25">
      <c r="A72" s="50"/>
      <c r="B72" s="53"/>
      <c r="C72" s="53"/>
      <c r="D72" s="23" t="s">
        <v>46</v>
      </c>
      <c r="E72" s="17" t="s">
        <v>15</v>
      </c>
      <c r="F72" s="28">
        <v>23.05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26" customFormat="1" x14ac:dyDescent="0.25">
      <c r="A73" s="50"/>
      <c r="B73" s="53"/>
      <c r="C73" s="53"/>
      <c r="D73" s="10" t="s">
        <v>16</v>
      </c>
      <c r="E73" s="11" t="s">
        <v>17</v>
      </c>
      <c r="F73" s="28">
        <f>7669400*0.29/159</f>
        <v>13988.213836477988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26" customFormat="1" x14ac:dyDescent="0.25">
      <c r="A74" s="50"/>
      <c r="B74" s="53"/>
      <c r="C74" s="53"/>
      <c r="D74" s="12" t="s">
        <v>18</v>
      </c>
      <c r="E74" s="11" t="s">
        <v>17</v>
      </c>
      <c r="F74" s="28">
        <f>F73*30.2%</f>
        <v>4224.4405786163525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26" customFormat="1" x14ac:dyDescent="0.25">
      <c r="A75" s="50"/>
      <c r="B75" s="53"/>
      <c r="C75" s="53"/>
      <c r="D75" s="58" t="s">
        <v>47</v>
      </c>
      <c r="E75" s="58"/>
      <c r="F75" s="58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26" customFormat="1" x14ac:dyDescent="0.25">
      <c r="A76" s="50"/>
      <c r="B76" s="53"/>
      <c r="C76" s="53"/>
      <c r="D76" s="24" t="s">
        <v>48</v>
      </c>
      <c r="E76" s="25" t="s">
        <v>17</v>
      </c>
      <c r="F76" s="28">
        <f>(35864.58+476864.69)*0.53/159</f>
        <v>1709.0975666666668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26" customFormat="1" x14ac:dyDescent="0.25">
      <c r="A77" s="50"/>
      <c r="B77" s="53"/>
      <c r="C77" s="53"/>
      <c r="D77" s="24" t="s">
        <v>49</v>
      </c>
      <c r="E77" s="25" t="s">
        <v>17</v>
      </c>
      <c r="F77" s="28">
        <f>60000*0.53/159</f>
        <v>200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26" customFormat="1" ht="26.25" x14ac:dyDescent="0.25">
      <c r="A78" s="50"/>
      <c r="B78" s="53"/>
      <c r="C78" s="53"/>
      <c r="D78" s="24" t="s">
        <v>50</v>
      </c>
      <c r="E78" s="25" t="s">
        <v>17</v>
      </c>
      <c r="F78" s="28">
        <f>11250*0.53/159</f>
        <v>37.5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26" customFormat="1" ht="39" x14ac:dyDescent="0.25">
      <c r="A79" s="50"/>
      <c r="B79" s="53"/>
      <c r="C79" s="53"/>
      <c r="D79" s="24" t="s">
        <v>51</v>
      </c>
      <c r="E79" s="25" t="s">
        <v>17</v>
      </c>
      <c r="F79" s="28">
        <f>15000*0.53/159</f>
        <v>50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26" customFormat="1" x14ac:dyDescent="0.25">
      <c r="A80" s="50"/>
      <c r="B80" s="53"/>
      <c r="C80" s="53"/>
      <c r="D80" s="24" t="s">
        <v>52</v>
      </c>
      <c r="E80" s="25" t="s">
        <v>53</v>
      </c>
      <c r="F80" s="28">
        <f>150*0.53</f>
        <v>79.5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26" customFormat="1" ht="26.25" x14ac:dyDescent="0.25">
      <c r="A81" s="50"/>
      <c r="B81" s="53"/>
      <c r="C81" s="53"/>
      <c r="D81" s="24" t="s">
        <v>54</v>
      </c>
      <c r="E81" s="9" t="s">
        <v>17</v>
      </c>
      <c r="F81" s="28">
        <f>0.53*22400/159</f>
        <v>74.666666666666671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26" customFormat="1" x14ac:dyDescent="0.25">
      <c r="A82" s="51"/>
      <c r="B82" s="54"/>
      <c r="C82" s="54"/>
      <c r="D82" s="24" t="s">
        <v>35</v>
      </c>
      <c r="E82" s="9" t="s">
        <v>17</v>
      </c>
      <c r="F82" s="28">
        <f>77400*0.45/159</f>
        <v>219.0566037735849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26" customFormat="1" ht="21" customHeight="1" x14ac:dyDescent="0.25">
      <c r="A83" s="49" t="s">
        <v>57</v>
      </c>
      <c r="B83" s="52" t="s">
        <v>58</v>
      </c>
      <c r="C83" s="52" t="s">
        <v>11</v>
      </c>
      <c r="D83" s="55" t="s">
        <v>12</v>
      </c>
      <c r="E83" s="56"/>
      <c r="F83" s="5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26" customFormat="1" x14ac:dyDescent="0.25">
      <c r="A84" s="50"/>
      <c r="B84" s="53"/>
      <c r="C84" s="53"/>
      <c r="D84" s="58" t="s">
        <v>13</v>
      </c>
      <c r="E84" s="58"/>
      <c r="F84" s="58"/>
      <c r="G84"/>
      <c r="H84" s="15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26" customFormat="1" x14ac:dyDescent="0.25">
      <c r="A85" s="50"/>
      <c r="B85" s="53"/>
      <c r="C85" s="53"/>
      <c r="D85" s="8" t="s">
        <v>14</v>
      </c>
      <c r="E85" s="9" t="s">
        <v>15</v>
      </c>
      <c r="F85" s="28">
        <v>46.61</v>
      </c>
      <c r="G85"/>
      <c r="H85" s="1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26" customFormat="1" x14ac:dyDescent="0.25">
      <c r="A86" s="50"/>
      <c r="B86" s="53"/>
      <c r="C86" s="53"/>
      <c r="D86" s="10" t="s">
        <v>16</v>
      </c>
      <c r="E86" s="11" t="s">
        <v>17</v>
      </c>
      <c r="F86" s="28">
        <f>21350900*0.04/17</f>
        <v>50237.411764705881</v>
      </c>
      <c r="G86" s="5"/>
      <c r="H86" s="15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26" customFormat="1" x14ac:dyDescent="0.25">
      <c r="A87" s="50"/>
      <c r="B87" s="53"/>
      <c r="C87" s="53"/>
      <c r="D87" s="12" t="s">
        <v>18</v>
      </c>
      <c r="E87" s="11" t="s">
        <v>17</v>
      </c>
      <c r="F87" s="28">
        <f>F86*30.2%</f>
        <v>15171.698352941175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26" customFormat="1" ht="15" customHeight="1" x14ac:dyDescent="0.25">
      <c r="A88" s="50"/>
      <c r="B88" s="53"/>
      <c r="C88" s="53"/>
      <c r="D88" s="55" t="s">
        <v>19</v>
      </c>
      <c r="E88" s="56"/>
      <c r="F88" s="57"/>
      <c r="G88"/>
      <c r="H88" s="15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26" customFormat="1" x14ac:dyDescent="0.25">
      <c r="A89" s="50"/>
      <c r="B89" s="53"/>
      <c r="C89" s="53"/>
      <c r="D89" s="58" t="s">
        <v>20</v>
      </c>
      <c r="E89" s="58"/>
      <c r="F89" s="58"/>
      <c r="G89"/>
      <c r="H89" s="15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26" customFormat="1" x14ac:dyDescent="0.25">
      <c r="A90" s="50"/>
      <c r="B90" s="53"/>
      <c r="C90" s="53"/>
      <c r="D90" s="13" t="s">
        <v>21</v>
      </c>
      <c r="E90" s="14" t="s">
        <v>22</v>
      </c>
      <c r="F90" s="28">
        <f>2248432*0.04/17</f>
        <v>5290.4282352941173</v>
      </c>
      <c r="G90" s="15"/>
      <c r="H90" s="3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26" customFormat="1" x14ac:dyDescent="0.25">
      <c r="A91" s="50"/>
      <c r="B91" s="53"/>
      <c r="C91" s="53"/>
      <c r="D91" s="13" t="s">
        <v>23</v>
      </c>
      <c r="E91" s="14" t="s">
        <v>24</v>
      </c>
      <c r="F91" s="28">
        <f>3750057*0.04/17</f>
        <v>8823.6635294117641</v>
      </c>
      <c r="G91"/>
      <c r="H91" s="3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26" customFormat="1" ht="15.75" x14ac:dyDescent="0.25">
      <c r="A92" s="50"/>
      <c r="B92" s="53"/>
      <c r="C92" s="53"/>
      <c r="D92" s="13" t="s">
        <v>25</v>
      </c>
      <c r="E92" s="14" t="s">
        <v>26</v>
      </c>
      <c r="F92" s="28">
        <f>250431*0.04/17</f>
        <v>589.24941176470588</v>
      </c>
      <c r="G92"/>
      <c r="H92" s="5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26" customFormat="1" x14ac:dyDescent="0.25">
      <c r="A93" s="50"/>
      <c r="B93" s="53"/>
      <c r="C93" s="53"/>
      <c r="D93" s="13" t="s">
        <v>27</v>
      </c>
      <c r="E93" s="14" t="s">
        <v>28</v>
      </c>
      <c r="F93" s="28">
        <f>0.04*3003557.1/17</f>
        <v>7067.1931764705878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26" customFormat="1" ht="28.5" customHeight="1" x14ac:dyDescent="0.25">
      <c r="A94" s="50"/>
      <c r="B94" s="53"/>
      <c r="C94" s="53"/>
      <c r="D94" s="55" t="s">
        <v>29</v>
      </c>
      <c r="E94" s="56"/>
      <c r="F94" s="57"/>
      <c r="G94"/>
      <c r="H94" s="15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26" customFormat="1" x14ac:dyDescent="0.25">
      <c r="A95" s="50"/>
      <c r="B95" s="53"/>
      <c r="C95" s="53"/>
      <c r="D95" s="16" t="s">
        <v>30</v>
      </c>
      <c r="E95" s="17" t="s">
        <v>28</v>
      </c>
      <c r="F95" s="29">
        <f>29000*0.08/17</f>
        <v>136.47058823529412</v>
      </c>
      <c r="G95" s="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26" customFormat="1" x14ac:dyDescent="0.25">
      <c r="A96" s="50"/>
      <c r="B96" s="53"/>
      <c r="C96" s="53"/>
      <c r="D96" s="16" t="s">
        <v>31</v>
      </c>
      <c r="E96" s="17" t="s">
        <v>28</v>
      </c>
      <c r="F96" s="29">
        <f>(35000+5000+800)*0.08/17</f>
        <v>192</v>
      </c>
      <c r="G96" s="5"/>
      <c r="H96" s="15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26" customFormat="1" x14ac:dyDescent="0.25">
      <c r="A97" s="50"/>
      <c r="B97" s="53"/>
      <c r="C97" s="53"/>
      <c r="D97" s="18" t="s">
        <v>32</v>
      </c>
      <c r="E97" s="6" t="s">
        <v>28</v>
      </c>
      <c r="F97" s="28">
        <f>0.1*24500/17</f>
        <v>144.11764705882354</v>
      </c>
      <c r="G97"/>
      <c r="H97" s="15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26" customFormat="1" x14ac:dyDescent="0.25">
      <c r="A98" s="50"/>
      <c r="B98" s="53"/>
      <c r="C98" s="53"/>
      <c r="D98" s="18" t="s">
        <v>33</v>
      </c>
      <c r="E98" s="17" t="s">
        <v>28</v>
      </c>
      <c r="F98" s="28">
        <f>90000*0.1/17</f>
        <v>529.41176470588232</v>
      </c>
      <c r="G98"/>
      <c r="H98" s="15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26" customFormat="1" ht="39" x14ac:dyDescent="0.25">
      <c r="A99" s="50"/>
      <c r="B99" s="53"/>
      <c r="C99" s="53"/>
      <c r="D99" s="19" t="s">
        <v>34</v>
      </c>
      <c r="E99" s="17" t="s">
        <v>28</v>
      </c>
      <c r="F99" s="28">
        <f>24000*0.1/17</f>
        <v>141.1764705882353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26" customFormat="1" x14ac:dyDescent="0.25">
      <c r="A100" s="50"/>
      <c r="B100" s="53"/>
      <c r="C100" s="53"/>
      <c r="D100" s="18" t="s">
        <v>35</v>
      </c>
      <c r="E100" s="17" t="s">
        <v>28</v>
      </c>
      <c r="F100" s="28">
        <f>136500*0.1/17</f>
        <v>802.94117647058829</v>
      </c>
      <c r="G100"/>
      <c r="H100" s="15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26" customFormat="1" x14ac:dyDescent="0.25">
      <c r="A101" s="50"/>
      <c r="B101" s="53"/>
      <c r="C101" s="53"/>
      <c r="D101" s="18" t="s">
        <v>36</v>
      </c>
      <c r="E101" s="17" t="s">
        <v>28</v>
      </c>
      <c r="F101" s="28">
        <f>6200*0.1/17</f>
        <v>36.470588235294116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26" customFormat="1" ht="26.25" x14ac:dyDescent="0.25">
      <c r="A102" s="50"/>
      <c r="B102" s="53"/>
      <c r="C102" s="53"/>
      <c r="D102" s="19" t="s">
        <v>37</v>
      </c>
      <c r="E102" s="17" t="s">
        <v>28</v>
      </c>
      <c r="F102" s="28">
        <f>26000*0.1/17</f>
        <v>152.94117647058823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26" customFormat="1" x14ac:dyDescent="0.25">
      <c r="A103" s="50"/>
      <c r="B103" s="53"/>
      <c r="C103" s="53"/>
      <c r="D103" s="19" t="s">
        <v>38</v>
      </c>
      <c r="E103" s="17" t="s">
        <v>28</v>
      </c>
      <c r="F103" s="28">
        <f>0.1*100000/17</f>
        <v>588.23529411764707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26" customFormat="1" ht="28.5" customHeight="1" x14ac:dyDescent="0.25">
      <c r="A104" s="50"/>
      <c r="B104" s="53"/>
      <c r="C104" s="53"/>
      <c r="D104" s="55" t="s">
        <v>39</v>
      </c>
      <c r="E104" s="56"/>
      <c r="F104" s="57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26" customFormat="1" x14ac:dyDescent="0.25">
      <c r="A105" s="50"/>
      <c r="B105" s="53"/>
      <c r="C105" s="53"/>
      <c r="D105" s="18" t="s">
        <v>40</v>
      </c>
      <c r="E105" s="20" t="s">
        <v>41</v>
      </c>
      <c r="F105" s="28">
        <v>6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26" customFormat="1" x14ac:dyDescent="0.25">
      <c r="A106" s="50"/>
      <c r="B106" s="53"/>
      <c r="C106" s="53"/>
      <c r="D106" s="55" t="s">
        <v>42</v>
      </c>
      <c r="E106" s="56"/>
      <c r="F106" s="57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26" customFormat="1" x14ac:dyDescent="0.25">
      <c r="A107" s="50"/>
      <c r="B107" s="53"/>
      <c r="C107" s="53"/>
      <c r="D107" s="21" t="s">
        <v>43</v>
      </c>
      <c r="E107" s="22" t="s">
        <v>28</v>
      </c>
      <c r="F107" s="28">
        <f>172500*0.1/17</f>
        <v>1014.7058823529412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26" customFormat="1" ht="31.5" customHeight="1" x14ac:dyDescent="0.25">
      <c r="A108" s="50"/>
      <c r="B108" s="53"/>
      <c r="C108" s="53"/>
      <c r="D108" s="58" t="s">
        <v>45</v>
      </c>
      <c r="E108" s="58"/>
      <c r="F108" s="5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26" customFormat="1" ht="26.25" x14ac:dyDescent="0.25">
      <c r="A109" s="50"/>
      <c r="B109" s="53"/>
      <c r="C109" s="53"/>
      <c r="D109" s="23" t="s">
        <v>46</v>
      </c>
      <c r="E109" s="17" t="s">
        <v>15</v>
      </c>
      <c r="F109" s="28">
        <v>23.05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26" customFormat="1" x14ac:dyDescent="0.25">
      <c r="A110" s="50"/>
      <c r="B110" s="53"/>
      <c r="C110" s="53"/>
      <c r="D110" s="10" t="s">
        <v>16</v>
      </c>
      <c r="E110" s="11" t="s">
        <v>17</v>
      </c>
      <c r="F110" s="28">
        <f>7669400*0.04/17</f>
        <v>18045.647058823528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26" customFormat="1" x14ac:dyDescent="0.25">
      <c r="A111" s="50"/>
      <c r="B111" s="53"/>
      <c r="C111" s="53"/>
      <c r="D111" s="12" t="s">
        <v>18</v>
      </c>
      <c r="E111" s="11" t="s">
        <v>17</v>
      </c>
      <c r="F111" s="28">
        <f>F110*30.2%</f>
        <v>5449.7854117647057</v>
      </c>
      <c r="G111"/>
      <c r="H111" s="5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26" customFormat="1" x14ac:dyDescent="0.25">
      <c r="A112" s="50"/>
      <c r="B112" s="53"/>
      <c r="C112" s="53"/>
      <c r="D112" s="58" t="s">
        <v>47</v>
      </c>
      <c r="E112" s="58"/>
      <c r="F112" s="58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26" customFormat="1" x14ac:dyDescent="0.25">
      <c r="A113" s="50"/>
      <c r="B113" s="53"/>
      <c r="C113" s="53"/>
      <c r="D113" s="24" t="s">
        <v>48</v>
      </c>
      <c r="E113" s="25" t="s">
        <v>17</v>
      </c>
      <c r="F113" s="28">
        <f>(35864.58+476864.69)*0.1/17</f>
        <v>3016.0545294117651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26" customFormat="1" x14ac:dyDescent="0.25">
      <c r="A114" s="50"/>
      <c r="B114" s="53"/>
      <c r="C114" s="53"/>
      <c r="D114" s="24" t="s">
        <v>49</v>
      </c>
      <c r="E114" s="25" t="s">
        <v>17</v>
      </c>
      <c r="F114" s="28">
        <f>60000*0.1/17</f>
        <v>352.94117647058823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26" customFormat="1" ht="26.25" x14ac:dyDescent="0.25">
      <c r="A115" s="50"/>
      <c r="B115" s="53"/>
      <c r="C115" s="53"/>
      <c r="D115" s="24" t="s">
        <v>50</v>
      </c>
      <c r="E115" s="25" t="s">
        <v>17</v>
      </c>
      <c r="F115" s="28">
        <f>11250*0.1/17</f>
        <v>66.17647058823529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26" customFormat="1" ht="39" x14ac:dyDescent="0.25">
      <c r="A116" s="50"/>
      <c r="B116" s="53"/>
      <c r="C116" s="53"/>
      <c r="D116" s="24" t="s">
        <v>51</v>
      </c>
      <c r="E116" s="25" t="s">
        <v>17</v>
      </c>
      <c r="F116" s="28">
        <f>15000*0.1/17</f>
        <v>88.235294117647058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26" customFormat="1" x14ac:dyDescent="0.25">
      <c r="A117" s="50"/>
      <c r="B117" s="53"/>
      <c r="C117" s="53"/>
      <c r="D117" s="24" t="s">
        <v>52</v>
      </c>
      <c r="E117" s="25" t="s">
        <v>53</v>
      </c>
      <c r="F117" s="28">
        <f>150*0.1</f>
        <v>15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26" customFormat="1" ht="26.25" x14ac:dyDescent="0.25">
      <c r="A118" s="50"/>
      <c r="B118" s="53"/>
      <c r="C118" s="53"/>
      <c r="D118" s="24" t="s">
        <v>54</v>
      </c>
      <c r="E118" s="9" t="s">
        <v>17</v>
      </c>
      <c r="F118" s="28">
        <f>0.1*22400/17</f>
        <v>131.76470588235293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26" customFormat="1" x14ac:dyDescent="0.25">
      <c r="A119" s="51"/>
      <c r="B119" s="54"/>
      <c r="C119" s="54"/>
      <c r="D119" s="24" t="s">
        <v>35</v>
      </c>
      <c r="E119" s="9" t="s">
        <v>17</v>
      </c>
      <c r="F119" s="28">
        <f>77400*0.08/17</f>
        <v>364.23529411764707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26" customFormat="1" ht="18" customHeight="1" x14ac:dyDescent="0.25">
      <c r="A120" s="49" t="s">
        <v>74</v>
      </c>
      <c r="B120" s="59" t="s">
        <v>59</v>
      </c>
      <c r="C120" s="52" t="s">
        <v>11</v>
      </c>
      <c r="D120" s="55" t="s">
        <v>12</v>
      </c>
      <c r="E120" s="56"/>
      <c r="F120" s="57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26" customFormat="1" x14ac:dyDescent="0.25">
      <c r="A121" s="50"/>
      <c r="B121" s="60"/>
      <c r="C121" s="53"/>
      <c r="D121" s="58" t="s">
        <v>13</v>
      </c>
      <c r="E121" s="58"/>
      <c r="F121" s="58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26" customFormat="1" x14ac:dyDescent="0.25">
      <c r="A122" s="50"/>
      <c r="B122" s="60"/>
      <c r="C122" s="53"/>
      <c r="D122" s="8" t="s">
        <v>14</v>
      </c>
      <c r="E122" s="9" t="s">
        <v>15</v>
      </c>
      <c r="F122" s="28" t="s">
        <v>60</v>
      </c>
      <c r="G122"/>
      <c r="H122" s="15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26" customFormat="1" x14ac:dyDescent="0.25">
      <c r="A123" s="50"/>
      <c r="B123" s="60"/>
      <c r="C123" s="53"/>
      <c r="D123" s="10" t="s">
        <v>16</v>
      </c>
      <c r="E123" s="11" t="s">
        <v>17</v>
      </c>
      <c r="F123" s="28" t="s">
        <v>60</v>
      </c>
      <c r="G123" s="5"/>
      <c r="H123" s="15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26" customFormat="1" x14ac:dyDescent="0.25">
      <c r="A124" s="50"/>
      <c r="B124" s="60"/>
      <c r="C124" s="53"/>
      <c r="D124" s="12" t="s">
        <v>18</v>
      </c>
      <c r="E124" s="11" t="s">
        <v>17</v>
      </c>
      <c r="F124" s="28" t="s">
        <v>60</v>
      </c>
      <c r="G124"/>
      <c r="H124" s="15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26" customFormat="1" x14ac:dyDescent="0.25">
      <c r="A125" s="50"/>
      <c r="B125" s="60"/>
      <c r="C125" s="53"/>
      <c r="D125" s="55" t="s">
        <v>19</v>
      </c>
      <c r="E125" s="56"/>
      <c r="F125" s="57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26" customFormat="1" x14ac:dyDescent="0.25">
      <c r="A126" s="50"/>
      <c r="B126" s="60"/>
      <c r="C126" s="53"/>
      <c r="D126" s="55" t="s">
        <v>20</v>
      </c>
      <c r="E126" s="56"/>
      <c r="F126" s="57"/>
      <c r="G126"/>
      <c r="H126" s="15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26" customFormat="1" x14ac:dyDescent="0.25">
      <c r="A127" s="50"/>
      <c r="B127" s="60"/>
      <c r="C127" s="53"/>
      <c r="D127" s="13" t="s">
        <v>21</v>
      </c>
      <c r="E127" s="14" t="s">
        <v>22</v>
      </c>
      <c r="F127" s="28">
        <f>2248432*0.46/249</f>
        <v>4153.7297991967871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26" customFormat="1" x14ac:dyDescent="0.25">
      <c r="A128" s="50"/>
      <c r="B128" s="60"/>
      <c r="C128" s="53"/>
      <c r="D128" s="13" t="s">
        <v>23</v>
      </c>
      <c r="E128" s="14" t="s">
        <v>24</v>
      </c>
      <c r="F128" s="28">
        <f>3750057*0.46/249</f>
        <v>6927.8161445783135</v>
      </c>
      <c r="G128" s="15"/>
      <c r="H128" s="3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26" customFormat="1" ht="15.75" x14ac:dyDescent="0.25">
      <c r="A129" s="50"/>
      <c r="B129" s="60"/>
      <c r="C129" s="53"/>
      <c r="D129" s="13" t="s">
        <v>25</v>
      </c>
      <c r="E129" s="14" t="s">
        <v>26</v>
      </c>
      <c r="F129" s="28">
        <f>250431*0.46/249</f>
        <v>462.64361445783135</v>
      </c>
      <c r="G129"/>
      <c r="H129" s="15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26" customFormat="1" x14ac:dyDescent="0.25">
      <c r="A130" s="50"/>
      <c r="B130" s="60"/>
      <c r="C130" s="53"/>
      <c r="D130" s="13" t="s">
        <v>27</v>
      </c>
      <c r="E130" s="14" t="s">
        <v>28</v>
      </c>
      <c r="F130" s="28">
        <f>0.46*3003557.1/249</f>
        <v>5548.7400240963862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26" customFormat="1" ht="31.5" customHeight="1" x14ac:dyDescent="0.25">
      <c r="A131" s="50"/>
      <c r="B131" s="60"/>
      <c r="C131" s="53"/>
      <c r="D131" s="55" t="s">
        <v>29</v>
      </c>
      <c r="E131" s="56"/>
      <c r="F131" s="57"/>
      <c r="G131"/>
      <c r="H131" s="5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26" customFormat="1" x14ac:dyDescent="0.25">
      <c r="A132" s="50"/>
      <c r="B132" s="60"/>
      <c r="C132" s="53"/>
      <c r="D132" s="16" t="s">
        <v>30</v>
      </c>
      <c r="E132" s="17" t="s">
        <v>28</v>
      </c>
      <c r="F132" s="29">
        <f>29000*0.07/249</f>
        <v>8.1526104417670684</v>
      </c>
      <c r="G132" s="5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26" customFormat="1" x14ac:dyDescent="0.25">
      <c r="A133" s="50"/>
      <c r="B133" s="60"/>
      <c r="C133" s="53"/>
      <c r="D133" s="16" t="s">
        <v>31</v>
      </c>
      <c r="E133" s="17" t="s">
        <v>28</v>
      </c>
      <c r="F133" s="29">
        <f>(35000+5000+800)*0.07/249</f>
        <v>11.469879518072291</v>
      </c>
      <c r="G133" s="5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26" customFormat="1" x14ac:dyDescent="0.25">
      <c r="A134" s="50"/>
      <c r="B134" s="60"/>
      <c r="C134" s="53"/>
      <c r="D134" s="18" t="s">
        <v>32</v>
      </c>
      <c r="E134" s="6" t="s">
        <v>61</v>
      </c>
      <c r="F134" s="28" t="s">
        <v>60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26" customFormat="1" x14ac:dyDescent="0.25">
      <c r="A135" s="50"/>
      <c r="B135" s="60"/>
      <c r="C135" s="53"/>
      <c r="D135" s="18" t="s">
        <v>33</v>
      </c>
      <c r="E135" s="17" t="s">
        <v>28</v>
      </c>
      <c r="F135" s="28" t="s">
        <v>60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26" customFormat="1" ht="39" x14ac:dyDescent="0.25">
      <c r="A136" s="50"/>
      <c r="B136" s="60"/>
      <c r="C136" s="53"/>
      <c r="D136" s="19" t="s">
        <v>34</v>
      </c>
      <c r="E136" s="17" t="s">
        <v>28</v>
      </c>
      <c r="F136" s="28" t="s">
        <v>60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26" customFormat="1" x14ac:dyDescent="0.25">
      <c r="A137" s="50"/>
      <c r="B137" s="60"/>
      <c r="C137" s="53"/>
      <c r="D137" s="18" t="s">
        <v>35</v>
      </c>
      <c r="E137" s="17" t="s">
        <v>28</v>
      </c>
      <c r="F137" s="28" t="s">
        <v>60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26" customFormat="1" x14ac:dyDescent="0.25">
      <c r="A138" s="50"/>
      <c r="B138" s="60"/>
      <c r="C138" s="53"/>
      <c r="D138" s="18" t="s">
        <v>62</v>
      </c>
      <c r="E138" s="17" t="s">
        <v>28</v>
      </c>
      <c r="F138" s="28" t="s">
        <v>60</v>
      </c>
      <c r="G138"/>
      <c r="H138" s="5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26" customFormat="1" ht="26.25" x14ac:dyDescent="0.25">
      <c r="A139" s="50"/>
      <c r="B139" s="60"/>
      <c r="C139" s="53"/>
      <c r="D139" s="19" t="s">
        <v>37</v>
      </c>
      <c r="E139" s="17" t="s">
        <v>28</v>
      </c>
      <c r="F139" s="28" t="s">
        <v>60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26" customFormat="1" ht="31.5" customHeight="1" x14ac:dyDescent="0.25">
      <c r="A140" s="50"/>
      <c r="B140" s="60"/>
      <c r="C140" s="53"/>
      <c r="D140" s="55" t="s">
        <v>39</v>
      </c>
      <c r="E140" s="56"/>
      <c r="F140" s="57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26" customFormat="1" x14ac:dyDescent="0.25">
      <c r="A141" s="50"/>
      <c r="B141" s="60"/>
      <c r="C141" s="53"/>
      <c r="D141" s="18" t="s">
        <v>40</v>
      </c>
      <c r="E141" s="20" t="s">
        <v>41</v>
      </c>
      <c r="F141" s="28" t="s">
        <v>60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26" customFormat="1" x14ac:dyDescent="0.25">
      <c r="A142" s="50"/>
      <c r="B142" s="60"/>
      <c r="C142" s="53"/>
      <c r="D142" s="55" t="s">
        <v>42</v>
      </c>
      <c r="E142" s="56"/>
      <c r="F142" s="57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26" customFormat="1" x14ac:dyDescent="0.25">
      <c r="A143" s="50"/>
      <c r="B143" s="60"/>
      <c r="C143" s="53"/>
      <c r="D143" s="21" t="s">
        <v>43</v>
      </c>
      <c r="E143" s="22" t="s">
        <v>44</v>
      </c>
      <c r="F143" s="28" t="s">
        <v>60</v>
      </c>
      <c r="G143"/>
      <c r="H143" s="5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26" customFormat="1" ht="33.75" customHeight="1" x14ac:dyDescent="0.25">
      <c r="A144" s="50"/>
      <c r="B144" s="60"/>
      <c r="C144" s="53"/>
      <c r="D144" s="58" t="s">
        <v>45</v>
      </c>
      <c r="E144" s="58"/>
      <c r="F144" s="58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26" customFormat="1" ht="26.25" x14ac:dyDescent="0.25">
      <c r="A145" s="50"/>
      <c r="B145" s="60"/>
      <c r="C145" s="53"/>
      <c r="D145" s="23" t="s">
        <v>46</v>
      </c>
      <c r="E145" s="17" t="s">
        <v>15</v>
      </c>
      <c r="F145" s="28">
        <v>23.05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26" customFormat="1" x14ac:dyDescent="0.25">
      <c r="A146" s="50"/>
      <c r="B146" s="60"/>
      <c r="C146" s="53"/>
      <c r="D146" s="10" t="s">
        <v>16</v>
      </c>
      <c r="E146" s="11" t="s">
        <v>17</v>
      </c>
      <c r="F146" s="28">
        <f>7669400*0.46/249</f>
        <v>14168.369477911647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26" customFormat="1" x14ac:dyDescent="0.25">
      <c r="A147" s="50"/>
      <c r="B147" s="60"/>
      <c r="C147" s="53"/>
      <c r="D147" s="12" t="s">
        <v>18</v>
      </c>
      <c r="E147" s="11" t="s">
        <v>17</v>
      </c>
      <c r="F147" s="28">
        <f>F146*30.2%</f>
        <v>4278.8475823293174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26" customFormat="1" x14ac:dyDescent="0.25">
      <c r="A148" s="50"/>
      <c r="B148" s="60"/>
      <c r="C148" s="53"/>
      <c r="D148" s="58" t="s">
        <v>47</v>
      </c>
      <c r="E148" s="58"/>
      <c r="F148" s="5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26" customFormat="1" x14ac:dyDescent="0.25">
      <c r="A149" s="50"/>
      <c r="B149" s="60"/>
      <c r="C149" s="53"/>
      <c r="D149" s="24" t="s">
        <v>63</v>
      </c>
      <c r="E149" s="25" t="s">
        <v>17</v>
      </c>
      <c r="F149" s="28" t="s">
        <v>60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26" customFormat="1" x14ac:dyDescent="0.25">
      <c r="A150" s="50"/>
      <c r="B150" s="60"/>
      <c r="C150" s="53"/>
      <c r="D150" s="24" t="s">
        <v>49</v>
      </c>
      <c r="E150" s="25" t="s">
        <v>17</v>
      </c>
      <c r="F150" s="28" t="s">
        <v>60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26" customFormat="1" ht="26.25" x14ac:dyDescent="0.25">
      <c r="A151" s="50"/>
      <c r="B151" s="60"/>
      <c r="C151" s="53"/>
      <c r="D151" s="24" t="s">
        <v>64</v>
      </c>
      <c r="E151" s="25" t="s">
        <v>17</v>
      </c>
      <c r="F151" s="28" t="s">
        <v>60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26" customFormat="1" ht="39" x14ac:dyDescent="0.25">
      <c r="A152" s="50"/>
      <c r="B152" s="60"/>
      <c r="C152" s="53"/>
      <c r="D152" s="24" t="s">
        <v>51</v>
      </c>
      <c r="E152" s="25" t="s">
        <v>17</v>
      </c>
      <c r="F152" s="28" t="s">
        <v>60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26" customFormat="1" x14ac:dyDescent="0.25">
      <c r="A153" s="50"/>
      <c r="B153" s="60"/>
      <c r="C153" s="53"/>
      <c r="D153" s="24" t="s">
        <v>65</v>
      </c>
      <c r="E153" s="9" t="s">
        <v>17</v>
      </c>
      <c r="F153" s="28">
        <f>1672845*0.53/249</f>
        <v>3560.6740963855427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26" customFormat="1" ht="26.25" x14ac:dyDescent="0.25">
      <c r="A154" s="50"/>
      <c r="B154" s="60"/>
      <c r="C154" s="53"/>
      <c r="D154" s="24" t="s">
        <v>54</v>
      </c>
      <c r="E154" s="9" t="s">
        <v>17</v>
      </c>
      <c r="F154" s="28" t="s">
        <v>60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26" customFormat="1" x14ac:dyDescent="0.25">
      <c r="A155" s="51"/>
      <c r="B155" s="61"/>
      <c r="C155" s="54"/>
      <c r="D155" s="24" t="s">
        <v>35</v>
      </c>
      <c r="E155" s="9" t="s">
        <v>17</v>
      </c>
      <c r="F155" s="28">
        <f>76000*0.07/262</f>
        <v>20.305343511450385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26" customFormat="1" ht="30.75" customHeight="1" x14ac:dyDescent="0.25">
      <c r="A156" s="49" t="s">
        <v>66</v>
      </c>
      <c r="B156" s="52" t="s">
        <v>67</v>
      </c>
      <c r="C156" s="52" t="s">
        <v>11</v>
      </c>
      <c r="D156" s="55" t="s">
        <v>12</v>
      </c>
      <c r="E156" s="56"/>
      <c r="F156" s="57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26" customFormat="1" x14ac:dyDescent="0.25">
      <c r="A157" s="50"/>
      <c r="B157" s="53"/>
      <c r="C157" s="53"/>
      <c r="D157" s="58" t="s">
        <v>13</v>
      </c>
      <c r="E157" s="58"/>
      <c r="F157" s="58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26" customFormat="1" x14ac:dyDescent="0.25">
      <c r="A158" s="50"/>
      <c r="B158" s="53"/>
      <c r="C158" s="53"/>
      <c r="D158" s="8" t="s">
        <v>68</v>
      </c>
      <c r="E158" s="9" t="s">
        <v>15</v>
      </c>
      <c r="F158" s="28">
        <v>46.61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26" customFormat="1" x14ac:dyDescent="0.25">
      <c r="A159" s="50"/>
      <c r="B159" s="53"/>
      <c r="C159" s="53"/>
      <c r="D159" s="10" t="s">
        <v>16</v>
      </c>
      <c r="E159" s="11" t="s">
        <v>17</v>
      </c>
      <c r="F159" s="28">
        <f>1340300/230</f>
        <v>5827.391304347826</v>
      </c>
      <c r="G159" s="5"/>
      <c r="H159" s="15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26" customFormat="1" x14ac:dyDescent="0.25">
      <c r="A160" s="50"/>
      <c r="B160" s="53"/>
      <c r="C160" s="53"/>
      <c r="D160" s="12" t="s">
        <v>18</v>
      </c>
      <c r="E160" s="11" t="s">
        <v>17</v>
      </c>
      <c r="F160" s="28">
        <f>F159*30.2%</f>
        <v>1759.8721739130433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26" customFormat="1" x14ac:dyDescent="0.25">
      <c r="A161" s="50"/>
      <c r="B161" s="53"/>
      <c r="C161" s="53"/>
      <c r="D161" s="55" t="s">
        <v>19</v>
      </c>
      <c r="E161" s="56"/>
      <c r="F161" s="57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26" customFormat="1" x14ac:dyDescent="0.25">
      <c r="A162" s="50"/>
      <c r="B162" s="53"/>
      <c r="C162" s="53"/>
      <c r="D162" s="55" t="s">
        <v>20</v>
      </c>
      <c r="E162" s="56"/>
      <c r="F162" s="57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26" customFormat="1" x14ac:dyDescent="0.25">
      <c r="A163" s="50"/>
      <c r="B163" s="53"/>
      <c r="C163" s="53"/>
      <c r="D163" s="13" t="s">
        <v>21</v>
      </c>
      <c r="E163" s="14" t="s">
        <v>22</v>
      </c>
      <c r="F163" s="28" t="s">
        <v>60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26" customFormat="1" x14ac:dyDescent="0.25">
      <c r="A164" s="50"/>
      <c r="B164" s="53"/>
      <c r="C164" s="53"/>
      <c r="D164" s="13" t="s">
        <v>23</v>
      </c>
      <c r="E164" s="14" t="s">
        <v>24</v>
      </c>
      <c r="F164" s="28" t="s">
        <v>60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26" customFormat="1" ht="15.75" x14ac:dyDescent="0.25">
      <c r="A165" s="50"/>
      <c r="B165" s="53"/>
      <c r="C165" s="53"/>
      <c r="D165" s="13" t="s">
        <v>25</v>
      </c>
      <c r="E165" s="14" t="s">
        <v>26</v>
      </c>
      <c r="F165" s="28" t="s">
        <v>60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26" customFormat="1" ht="37.5" customHeight="1" x14ac:dyDescent="0.25">
      <c r="A166" s="50"/>
      <c r="B166" s="53"/>
      <c r="C166" s="53"/>
      <c r="D166" s="55" t="s">
        <v>29</v>
      </c>
      <c r="E166" s="56"/>
      <c r="F166" s="57"/>
      <c r="G166"/>
      <c r="H166" s="5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26" customFormat="1" x14ac:dyDescent="0.25">
      <c r="A167" s="50"/>
      <c r="B167" s="53"/>
      <c r="C167" s="53"/>
      <c r="D167" s="16" t="s">
        <v>30</v>
      </c>
      <c r="E167" s="17" t="s">
        <v>28</v>
      </c>
      <c r="F167" s="29" t="s">
        <v>60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26" customFormat="1" x14ac:dyDescent="0.25">
      <c r="A168" s="50"/>
      <c r="B168" s="53"/>
      <c r="C168" s="53"/>
      <c r="D168" s="16" t="s">
        <v>31</v>
      </c>
      <c r="E168" s="17" t="s">
        <v>28</v>
      </c>
      <c r="F168" s="29" t="s">
        <v>60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26" customFormat="1" x14ac:dyDescent="0.25">
      <c r="A169" s="50"/>
      <c r="B169" s="53"/>
      <c r="C169" s="53"/>
      <c r="D169" s="18" t="s">
        <v>32</v>
      </c>
      <c r="E169" s="6" t="s">
        <v>61</v>
      </c>
      <c r="F169" s="29" t="s">
        <v>60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26" customFormat="1" x14ac:dyDescent="0.25">
      <c r="A170" s="50"/>
      <c r="B170" s="53"/>
      <c r="C170" s="53"/>
      <c r="D170" s="18" t="s">
        <v>33</v>
      </c>
      <c r="E170" s="17" t="s">
        <v>28</v>
      </c>
      <c r="F170" s="29" t="s">
        <v>60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26" customFormat="1" ht="39" x14ac:dyDescent="0.25">
      <c r="A171" s="50"/>
      <c r="B171" s="53"/>
      <c r="C171" s="53"/>
      <c r="D171" s="19" t="s">
        <v>34</v>
      </c>
      <c r="E171" s="17" t="s">
        <v>28</v>
      </c>
      <c r="F171" s="29" t="s">
        <v>60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26" customFormat="1" x14ac:dyDescent="0.25">
      <c r="A172" s="50"/>
      <c r="B172" s="53"/>
      <c r="C172" s="53"/>
      <c r="D172" s="18" t="s">
        <v>35</v>
      </c>
      <c r="E172" s="17" t="s">
        <v>28</v>
      </c>
      <c r="F172" s="29" t="s">
        <v>60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26" customFormat="1" x14ac:dyDescent="0.25">
      <c r="A173" s="50"/>
      <c r="B173" s="53"/>
      <c r="C173" s="53"/>
      <c r="D173" s="18" t="s">
        <v>62</v>
      </c>
      <c r="E173" s="17" t="s">
        <v>28</v>
      </c>
      <c r="F173" s="29" t="s">
        <v>60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26" customFormat="1" ht="26.25" x14ac:dyDescent="0.25">
      <c r="A174" s="50"/>
      <c r="B174" s="53"/>
      <c r="C174" s="53"/>
      <c r="D174" s="19" t="s">
        <v>37</v>
      </c>
      <c r="E174" s="17" t="s">
        <v>28</v>
      </c>
      <c r="F174" s="29" t="s">
        <v>60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26" customFormat="1" ht="26.25" customHeight="1" x14ac:dyDescent="0.25">
      <c r="A175" s="50"/>
      <c r="B175" s="53"/>
      <c r="C175" s="53"/>
      <c r="D175" s="55" t="s">
        <v>39</v>
      </c>
      <c r="E175" s="56"/>
      <c r="F175" s="57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26" customFormat="1" x14ac:dyDescent="0.25">
      <c r="A176" s="50"/>
      <c r="B176" s="53"/>
      <c r="C176" s="53"/>
      <c r="D176" s="18" t="s">
        <v>40</v>
      </c>
      <c r="E176" s="20" t="s">
        <v>41</v>
      </c>
      <c r="F176" s="28" t="s">
        <v>60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26" customFormat="1" x14ac:dyDescent="0.25">
      <c r="A177" s="50"/>
      <c r="B177" s="53"/>
      <c r="C177" s="53"/>
      <c r="D177" s="55" t="s">
        <v>42</v>
      </c>
      <c r="E177" s="56"/>
      <c r="F177" s="5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26" customFormat="1" x14ac:dyDescent="0.25">
      <c r="A178" s="50"/>
      <c r="B178" s="53"/>
      <c r="C178" s="53"/>
      <c r="D178" s="21" t="s">
        <v>43</v>
      </c>
      <c r="E178" s="22" t="s">
        <v>44</v>
      </c>
      <c r="F178" s="28" t="s">
        <v>60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26" customFormat="1" ht="26.25" customHeight="1" x14ac:dyDescent="0.25">
      <c r="A179" s="50"/>
      <c r="B179" s="53"/>
      <c r="C179" s="53"/>
      <c r="D179" s="58" t="s">
        <v>45</v>
      </c>
      <c r="E179" s="58"/>
      <c r="F179" s="58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spans="1:26" s="26" customFormat="1" ht="26.25" x14ac:dyDescent="0.25">
      <c r="A180" s="50"/>
      <c r="B180" s="53"/>
      <c r="C180" s="53"/>
      <c r="D180" s="23" t="s">
        <v>46</v>
      </c>
      <c r="E180" s="17" t="s">
        <v>15</v>
      </c>
      <c r="F180" s="28" t="s">
        <v>60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spans="1:26" s="26" customFormat="1" x14ac:dyDescent="0.25">
      <c r="A181" s="50"/>
      <c r="B181" s="53"/>
      <c r="C181" s="53"/>
      <c r="D181" s="10" t="s">
        <v>16</v>
      </c>
      <c r="E181" s="11" t="s">
        <v>17</v>
      </c>
      <c r="F181" s="28" t="s">
        <v>60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</row>
    <row r="182" spans="1:26" s="26" customFormat="1" x14ac:dyDescent="0.25">
      <c r="A182" s="50"/>
      <c r="B182" s="53"/>
      <c r="C182" s="53"/>
      <c r="D182" s="12" t="s">
        <v>18</v>
      </c>
      <c r="E182" s="11" t="s">
        <v>17</v>
      </c>
      <c r="F182" s="28" t="s">
        <v>60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</row>
    <row r="183" spans="1:26" s="26" customFormat="1" x14ac:dyDescent="0.25">
      <c r="A183" s="50"/>
      <c r="B183" s="53"/>
      <c r="C183" s="53"/>
      <c r="D183" s="58" t="s">
        <v>47</v>
      </c>
      <c r="E183" s="58"/>
      <c r="F183" s="58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</row>
    <row r="184" spans="1:26" s="26" customFormat="1" x14ac:dyDescent="0.25">
      <c r="A184" s="50"/>
      <c r="B184" s="53"/>
      <c r="C184" s="53"/>
      <c r="D184" s="24" t="s">
        <v>63</v>
      </c>
      <c r="E184" s="25" t="s">
        <v>17</v>
      </c>
      <c r="F184" s="28" t="s">
        <v>60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spans="1:26" s="26" customFormat="1" x14ac:dyDescent="0.25">
      <c r="A185" s="50"/>
      <c r="B185" s="53"/>
      <c r="C185" s="53"/>
      <c r="D185" s="24" t="s">
        <v>49</v>
      </c>
      <c r="E185" s="25" t="s">
        <v>17</v>
      </c>
      <c r="F185" s="28" t="s">
        <v>60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spans="1:26" s="26" customFormat="1" ht="26.25" x14ac:dyDescent="0.25">
      <c r="A186" s="50"/>
      <c r="B186" s="53"/>
      <c r="C186" s="53"/>
      <c r="D186" s="24" t="s">
        <v>64</v>
      </c>
      <c r="E186" s="25" t="s">
        <v>17</v>
      </c>
      <c r="F186" s="28" t="s">
        <v>60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spans="1:26" s="26" customFormat="1" ht="39" x14ac:dyDescent="0.25">
      <c r="A187" s="50"/>
      <c r="B187" s="53"/>
      <c r="C187" s="53"/>
      <c r="D187" s="24" t="s">
        <v>51</v>
      </c>
      <c r="E187" s="25" t="s">
        <v>17</v>
      </c>
      <c r="F187" s="28" t="s">
        <v>60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spans="1:26" s="26" customFormat="1" x14ac:dyDescent="0.25">
      <c r="A188" s="50"/>
      <c r="B188" s="53"/>
      <c r="C188" s="53"/>
      <c r="D188" s="24" t="s">
        <v>52</v>
      </c>
      <c r="E188" s="25" t="s">
        <v>53</v>
      </c>
      <c r="F188" s="28" t="s">
        <v>60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  <row r="189" spans="1:26" s="26" customFormat="1" ht="26.25" x14ac:dyDescent="0.25">
      <c r="A189" s="50"/>
      <c r="B189" s="53"/>
      <c r="C189" s="53"/>
      <c r="D189" s="24" t="s">
        <v>54</v>
      </c>
      <c r="E189" s="9" t="s">
        <v>17</v>
      </c>
      <c r="F189" s="28" t="s">
        <v>60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</row>
    <row r="190" spans="1:26" s="26" customFormat="1" x14ac:dyDescent="0.25">
      <c r="A190" s="51"/>
      <c r="B190" s="54"/>
      <c r="C190" s="54"/>
      <c r="D190" s="24" t="s">
        <v>35</v>
      </c>
      <c r="E190" s="9" t="s">
        <v>17</v>
      </c>
      <c r="F190" s="28" t="s">
        <v>60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</row>
    <row r="191" spans="1:26" s="26" customFormat="1" ht="21.75" customHeight="1" x14ac:dyDescent="0.25">
      <c r="A191" s="49" t="s">
        <v>69</v>
      </c>
      <c r="B191" s="52" t="s">
        <v>70</v>
      </c>
      <c r="C191" s="52" t="s">
        <v>11</v>
      </c>
      <c r="D191" s="55" t="s">
        <v>12</v>
      </c>
      <c r="E191" s="56"/>
      <c r="F191" s="57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</row>
    <row r="192" spans="1:26" s="26" customFormat="1" x14ac:dyDescent="0.25">
      <c r="A192" s="50"/>
      <c r="B192" s="53"/>
      <c r="C192" s="53"/>
      <c r="D192" s="58" t="s">
        <v>13</v>
      </c>
      <c r="E192" s="58"/>
      <c r="F192" s="58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</row>
    <row r="193" spans="1:23" s="26" customFormat="1" x14ac:dyDescent="0.25">
      <c r="A193" s="50"/>
      <c r="B193" s="53"/>
      <c r="C193" s="53"/>
      <c r="D193" s="8" t="s">
        <v>68</v>
      </c>
      <c r="E193" s="9" t="s">
        <v>15</v>
      </c>
      <c r="F193" s="28">
        <v>0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</row>
    <row r="194" spans="1:23" s="26" customFormat="1" x14ac:dyDescent="0.25">
      <c r="A194" s="50"/>
      <c r="B194" s="53"/>
      <c r="C194" s="53"/>
      <c r="D194" s="10" t="s">
        <v>16</v>
      </c>
      <c r="E194" s="11" t="s">
        <v>17</v>
      </c>
      <c r="F194" s="28">
        <v>0</v>
      </c>
      <c r="G194" s="5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</row>
    <row r="195" spans="1:23" s="26" customFormat="1" x14ac:dyDescent="0.25">
      <c r="A195" s="50"/>
      <c r="B195" s="53"/>
      <c r="C195" s="53"/>
      <c r="D195" s="12" t="s">
        <v>18</v>
      </c>
      <c r="E195" s="11" t="s">
        <v>17</v>
      </c>
      <c r="F195" s="28">
        <f>F194*30.2%</f>
        <v>0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</row>
    <row r="196" spans="1:23" s="26" customFormat="1" x14ac:dyDescent="0.25">
      <c r="A196" s="50"/>
      <c r="B196" s="53"/>
      <c r="C196" s="53"/>
      <c r="D196" s="55" t="s">
        <v>19</v>
      </c>
      <c r="E196" s="56"/>
      <c r="F196" s="57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</row>
    <row r="197" spans="1:23" s="26" customFormat="1" x14ac:dyDescent="0.25">
      <c r="A197" s="50"/>
      <c r="B197" s="53"/>
      <c r="C197" s="53"/>
      <c r="D197" s="55" t="s">
        <v>20</v>
      </c>
      <c r="E197" s="56"/>
      <c r="F197" s="5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</row>
    <row r="198" spans="1:23" s="26" customFormat="1" x14ac:dyDescent="0.25">
      <c r="A198" s="50"/>
      <c r="B198" s="53"/>
      <c r="C198" s="53"/>
      <c r="D198" s="13" t="s">
        <v>21</v>
      </c>
      <c r="E198" s="14" t="s">
        <v>22</v>
      </c>
      <c r="F198" s="28" t="s">
        <v>60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</row>
    <row r="199" spans="1:23" s="26" customFormat="1" x14ac:dyDescent="0.25">
      <c r="A199" s="50"/>
      <c r="B199" s="53"/>
      <c r="C199" s="53"/>
      <c r="D199" s="13" t="s">
        <v>23</v>
      </c>
      <c r="E199" s="14" t="s">
        <v>24</v>
      </c>
      <c r="F199" s="28" t="s">
        <v>60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</row>
    <row r="200" spans="1:23" s="26" customFormat="1" ht="15.75" x14ac:dyDescent="0.25">
      <c r="A200" s="50"/>
      <c r="B200" s="53"/>
      <c r="C200" s="53"/>
      <c r="D200" s="13" t="s">
        <v>25</v>
      </c>
      <c r="E200" s="14" t="s">
        <v>26</v>
      </c>
      <c r="F200" s="28" t="s">
        <v>60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</row>
    <row r="201" spans="1:23" s="26" customFormat="1" ht="30.75" customHeight="1" x14ac:dyDescent="0.25">
      <c r="A201" s="50"/>
      <c r="B201" s="53"/>
      <c r="C201" s="53"/>
      <c r="D201" s="55" t="s">
        <v>29</v>
      </c>
      <c r="E201" s="56"/>
      <c r="F201" s="57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</row>
    <row r="202" spans="1:23" s="26" customFormat="1" x14ac:dyDescent="0.25">
      <c r="A202" s="50"/>
      <c r="B202" s="53"/>
      <c r="C202" s="53"/>
      <c r="D202" s="16" t="s">
        <v>30</v>
      </c>
      <c r="E202" s="17" t="s">
        <v>28</v>
      </c>
      <c r="F202" s="29" t="s">
        <v>60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</row>
    <row r="203" spans="1:23" s="26" customFormat="1" x14ac:dyDescent="0.25">
      <c r="A203" s="50"/>
      <c r="B203" s="53"/>
      <c r="C203" s="53"/>
      <c r="D203" s="16" t="s">
        <v>31</v>
      </c>
      <c r="E203" s="17" t="s">
        <v>28</v>
      </c>
      <c r="F203" s="29" t="s">
        <v>60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</row>
    <row r="204" spans="1:23" s="26" customFormat="1" x14ac:dyDescent="0.25">
      <c r="A204" s="50"/>
      <c r="B204" s="53"/>
      <c r="C204" s="53"/>
      <c r="D204" s="18" t="s">
        <v>32</v>
      </c>
      <c r="E204" s="6" t="s">
        <v>61</v>
      </c>
      <c r="F204" s="29" t="s">
        <v>60</v>
      </c>
      <c r="G204"/>
      <c r="H204" s="5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</row>
    <row r="205" spans="1:23" s="26" customFormat="1" x14ac:dyDescent="0.25">
      <c r="A205" s="50"/>
      <c r="B205" s="53"/>
      <c r="C205" s="53"/>
      <c r="D205" s="18" t="s">
        <v>33</v>
      </c>
      <c r="E205" s="17" t="s">
        <v>28</v>
      </c>
      <c r="F205" s="29" t="s">
        <v>60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</row>
    <row r="206" spans="1:23" s="26" customFormat="1" ht="39" x14ac:dyDescent="0.25">
      <c r="A206" s="50"/>
      <c r="B206" s="53"/>
      <c r="C206" s="53"/>
      <c r="D206" s="19" t="s">
        <v>34</v>
      </c>
      <c r="E206" s="17" t="s">
        <v>28</v>
      </c>
      <c r="F206" s="29" t="s">
        <v>60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</row>
    <row r="207" spans="1:23" s="26" customFormat="1" x14ac:dyDescent="0.25">
      <c r="A207" s="50"/>
      <c r="B207" s="53"/>
      <c r="C207" s="53"/>
      <c r="D207" s="18" t="s">
        <v>35</v>
      </c>
      <c r="E207" s="17" t="s">
        <v>28</v>
      </c>
      <c r="F207" s="29" t="s">
        <v>60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</row>
    <row r="208" spans="1:23" s="26" customFormat="1" x14ac:dyDescent="0.25">
      <c r="A208" s="50"/>
      <c r="B208" s="53"/>
      <c r="C208" s="53"/>
      <c r="D208" s="18" t="s">
        <v>62</v>
      </c>
      <c r="E208" s="17" t="s">
        <v>28</v>
      </c>
      <c r="F208" s="29" t="s">
        <v>60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</row>
    <row r="209" spans="1:23" s="26" customFormat="1" ht="26.25" x14ac:dyDescent="0.25">
      <c r="A209" s="50"/>
      <c r="B209" s="53"/>
      <c r="C209" s="53"/>
      <c r="D209" s="19" t="s">
        <v>37</v>
      </c>
      <c r="E209" s="17" t="s">
        <v>28</v>
      </c>
      <c r="F209" s="29" t="s">
        <v>60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</row>
    <row r="210" spans="1:23" s="26" customFormat="1" ht="29.25" customHeight="1" x14ac:dyDescent="0.25">
      <c r="A210" s="50"/>
      <c r="B210" s="53"/>
      <c r="C210" s="53"/>
      <c r="D210" s="55" t="s">
        <v>39</v>
      </c>
      <c r="E210" s="56"/>
      <c r="F210" s="57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3" s="26" customFormat="1" x14ac:dyDescent="0.25">
      <c r="A211" s="50"/>
      <c r="B211" s="53"/>
      <c r="C211" s="53"/>
      <c r="D211" s="18" t="s">
        <v>40</v>
      </c>
      <c r="E211" s="20" t="s">
        <v>41</v>
      </c>
      <c r="F211" s="28" t="s">
        <v>60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3" s="26" customFormat="1" x14ac:dyDescent="0.25">
      <c r="A212" s="50"/>
      <c r="B212" s="53"/>
      <c r="C212" s="53"/>
      <c r="D212" s="55" t="s">
        <v>42</v>
      </c>
      <c r="E212" s="56"/>
      <c r="F212" s="57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3" s="26" customFormat="1" x14ac:dyDescent="0.25">
      <c r="A213" s="50"/>
      <c r="B213" s="53"/>
      <c r="C213" s="53"/>
      <c r="D213" s="21" t="s">
        <v>43</v>
      </c>
      <c r="E213" s="22" t="s">
        <v>44</v>
      </c>
      <c r="F213" s="28" t="s">
        <v>60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3" s="26" customFormat="1" ht="28.5" customHeight="1" x14ac:dyDescent="0.25">
      <c r="A214" s="50"/>
      <c r="B214" s="53"/>
      <c r="C214" s="53"/>
      <c r="D214" s="58" t="s">
        <v>45</v>
      </c>
      <c r="E214" s="58"/>
      <c r="F214" s="58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3" s="26" customFormat="1" ht="26.25" x14ac:dyDescent="0.25">
      <c r="A215" s="50"/>
      <c r="B215" s="53"/>
      <c r="C215" s="53"/>
      <c r="D215" s="23" t="s">
        <v>46</v>
      </c>
      <c r="E215" s="17" t="s">
        <v>15</v>
      </c>
      <c r="F215" s="28" t="s">
        <v>60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3" s="26" customFormat="1" x14ac:dyDescent="0.25">
      <c r="A216" s="50"/>
      <c r="B216" s="53"/>
      <c r="C216" s="53"/>
      <c r="D216" s="27" t="s">
        <v>71</v>
      </c>
      <c r="E216" s="17" t="s">
        <v>72</v>
      </c>
      <c r="F216" s="28" t="s">
        <v>60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3" s="26" customFormat="1" x14ac:dyDescent="0.25">
      <c r="A217" s="50"/>
      <c r="B217" s="53"/>
      <c r="C217" s="53"/>
      <c r="D217" s="10" t="s">
        <v>16</v>
      </c>
      <c r="E217" s="11" t="s">
        <v>17</v>
      </c>
      <c r="F217" s="28" t="s">
        <v>60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3" s="26" customFormat="1" x14ac:dyDescent="0.25">
      <c r="A218" s="50"/>
      <c r="B218" s="53"/>
      <c r="C218" s="53"/>
      <c r="D218" s="12" t="s">
        <v>18</v>
      </c>
      <c r="E218" s="11" t="s">
        <v>17</v>
      </c>
      <c r="F218" s="28" t="s">
        <v>60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3" s="26" customFormat="1" x14ac:dyDescent="0.25">
      <c r="A219" s="50"/>
      <c r="B219" s="53"/>
      <c r="C219" s="53"/>
      <c r="D219" s="58" t="s">
        <v>47</v>
      </c>
      <c r="E219" s="58"/>
      <c r="F219" s="58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3" s="26" customFormat="1" x14ac:dyDescent="0.25">
      <c r="A220" s="50"/>
      <c r="B220" s="53"/>
      <c r="C220" s="53"/>
      <c r="D220" s="24" t="s">
        <v>63</v>
      </c>
      <c r="E220" s="25" t="s">
        <v>17</v>
      </c>
      <c r="F220" s="28" t="s">
        <v>60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3" s="26" customFormat="1" x14ac:dyDescent="0.25">
      <c r="A221" s="50"/>
      <c r="B221" s="53"/>
      <c r="C221" s="53"/>
      <c r="D221" s="24" t="s">
        <v>49</v>
      </c>
      <c r="E221" s="25" t="s">
        <v>17</v>
      </c>
      <c r="F221" s="28" t="s">
        <v>60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3" s="26" customFormat="1" x14ac:dyDescent="0.25">
      <c r="A222" s="50"/>
      <c r="B222" s="53"/>
      <c r="C222" s="53"/>
      <c r="D222" s="24" t="s">
        <v>73</v>
      </c>
      <c r="E222" s="25" t="s">
        <v>17</v>
      </c>
      <c r="F222" s="28" t="s">
        <v>60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3" s="26" customFormat="1" ht="39" x14ac:dyDescent="0.25">
      <c r="A223" s="50"/>
      <c r="B223" s="53"/>
      <c r="C223" s="53"/>
      <c r="D223" s="24" t="s">
        <v>51</v>
      </c>
      <c r="E223" s="25" t="s">
        <v>17</v>
      </c>
      <c r="F223" s="28" t="s">
        <v>60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3" s="26" customFormat="1" x14ac:dyDescent="0.25">
      <c r="A224" s="50"/>
      <c r="B224" s="53"/>
      <c r="C224" s="53"/>
      <c r="D224" s="24" t="s">
        <v>52</v>
      </c>
      <c r="E224" s="25" t="s">
        <v>53</v>
      </c>
      <c r="F224" s="28" t="s">
        <v>60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26" customFormat="1" ht="26.25" x14ac:dyDescent="0.25">
      <c r="A225" s="50"/>
      <c r="B225" s="53"/>
      <c r="C225" s="53"/>
      <c r="D225" s="24" t="s">
        <v>54</v>
      </c>
      <c r="E225" s="9" t="s">
        <v>17</v>
      </c>
      <c r="F225" s="28" t="s">
        <v>60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26" customFormat="1" x14ac:dyDescent="0.25">
      <c r="A226" s="51"/>
      <c r="B226" s="54"/>
      <c r="C226" s="54"/>
      <c r="D226" s="24" t="s">
        <v>35</v>
      </c>
      <c r="E226" s="9" t="s">
        <v>17</v>
      </c>
      <c r="F226" s="28" t="s">
        <v>60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30" spans="1:23" x14ac:dyDescent="0.25">
      <c r="H230" s="5"/>
    </row>
  </sheetData>
  <mergeCells count="76">
    <mergeCell ref="D214:F214"/>
    <mergeCell ref="D219:F219"/>
    <mergeCell ref="A191:A226"/>
    <mergeCell ref="B191:B226"/>
    <mergeCell ref="C191:C226"/>
    <mergeCell ref="D191:F191"/>
    <mergeCell ref="D192:F192"/>
    <mergeCell ref="D196:F196"/>
    <mergeCell ref="D197:F197"/>
    <mergeCell ref="D201:F201"/>
    <mergeCell ref="D210:F210"/>
    <mergeCell ref="D212:F212"/>
    <mergeCell ref="D162:F162"/>
    <mergeCell ref="A156:A190"/>
    <mergeCell ref="B156:B190"/>
    <mergeCell ref="C156:C190"/>
    <mergeCell ref="D156:F156"/>
    <mergeCell ref="D157:F157"/>
    <mergeCell ref="D161:F161"/>
    <mergeCell ref="D183:F183"/>
    <mergeCell ref="D166:F166"/>
    <mergeCell ref="D175:F175"/>
    <mergeCell ref="D177:F177"/>
    <mergeCell ref="D179:F179"/>
    <mergeCell ref="D104:F104"/>
    <mergeCell ref="D106:F106"/>
    <mergeCell ref="D108:F108"/>
    <mergeCell ref="D112:F112"/>
    <mergeCell ref="D126:F126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71:F71"/>
    <mergeCell ref="D75:F75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D52:F52"/>
    <mergeCell ref="D57:F57"/>
    <mergeCell ref="D67:F67"/>
    <mergeCell ref="D69:F69"/>
    <mergeCell ref="D15:F15"/>
    <mergeCell ref="D20:F20"/>
    <mergeCell ref="D30:F30"/>
    <mergeCell ref="D32:F32"/>
    <mergeCell ref="D34:F34"/>
    <mergeCell ref="D38:F38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Крутоярская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2022-02-24T08:02:00Z</cp:lastPrinted>
  <dcterms:created xsi:type="dcterms:W3CDTF">2020-03-18T16:08:58Z</dcterms:created>
  <dcterms:modified xsi:type="dcterms:W3CDTF">2023-03-05T16:50:26Z</dcterms:modified>
</cp:coreProperties>
</file>