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245"/>
  </bookViews>
  <sheets>
    <sheet name="Павловская СОШ 2022" sheetId="1" r:id="rId1"/>
  </sheets>
  <calcPr calcId="145621"/>
</workbook>
</file>

<file path=xl/calcChain.xml><?xml version="1.0" encoding="utf-8"?>
<calcChain xmlns="http://schemas.openxmlformats.org/spreadsheetml/2006/main">
  <c r="F200" i="1" l="1"/>
  <c r="F199" i="1"/>
  <c r="F198" i="1"/>
  <c r="F197" i="1"/>
  <c r="F164" i="1"/>
  <c r="F163" i="1"/>
  <c r="F162" i="1"/>
  <c r="F161" i="1"/>
  <c r="F128" i="1"/>
  <c r="F127" i="1"/>
  <c r="F126" i="1"/>
  <c r="F125" i="1"/>
  <c r="F92" i="1"/>
  <c r="F91" i="1"/>
  <c r="F90" i="1"/>
  <c r="F89" i="1"/>
  <c r="F56" i="1"/>
  <c r="F55" i="1"/>
  <c r="F54" i="1"/>
  <c r="F53" i="1"/>
  <c r="F45" i="1"/>
  <c r="F295" i="1"/>
  <c r="F229" i="1"/>
  <c r="F216" i="1"/>
  <c r="F180" i="1"/>
  <c r="F144" i="1"/>
  <c r="F108" i="1"/>
  <c r="F72" i="1"/>
  <c r="F121" i="1"/>
  <c r="F85" i="1"/>
  <c r="F49" i="1"/>
  <c r="F35" i="1"/>
  <c r="F12" i="1"/>
  <c r="F225" i="1" l="1"/>
  <c r="F223" i="1"/>
  <c r="F203" i="1"/>
  <c r="F202" i="1"/>
  <c r="F187" i="1"/>
  <c r="F167" i="1"/>
  <c r="F166" i="1"/>
  <c r="F189" i="1" l="1"/>
  <c r="F153" i="1"/>
  <c r="F152" i="1"/>
  <c r="F150" i="1"/>
  <c r="F149" i="1"/>
  <c r="F148" i="1"/>
  <c r="F147" i="1"/>
  <c r="F141" i="1"/>
  <c r="F137" i="1"/>
  <c r="F136" i="1"/>
  <c r="F135" i="1"/>
  <c r="F134" i="1"/>
  <c r="F133" i="1"/>
  <c r="F132" i="1"/>
  <c r="F131" i="1"/>
  <c r="F130" i="1"/>
  <c r="F117" i="1"/>
  <c r="F116" i="1"/>
  <c r="F114" i="1"/>
  <c r="F113" i="1"/>
  <c r="F112" i="1"/>
  <c r="F111" i="1"/>
  <c r="F105" i="1"/>
  <c r="F101" i="1"/>
  <c r="F100" i="1"/>
  <c r="F99" i="1"/>
  <c r="F98" i="1"/>
  <c r="F97" i="1"/>
  <c r="F96" i="1"/>
  <c r="F95" i="1"/>
  <c r="F94" i="1"/>
  <c r="F107" i="1"/>
  <c r="F84" i="1"/>
  <c r="F120" i="1" s="1"/>
  <c r="F80" i="1"/>
  <c r="F81" i="1"/>
  <c r="F78" i="1"/>
  <c r="F77" i="1"/>
  <c r="F76" i="1"/>
  <c r="F75" i="1"/>
  <c r="F69" i="1"/>
  <c r="F65" i="1"/>
  <c r="F64" i="1"/>
  <c r="F63" i="1"/>
  <c r="F62" i="1"/>
  <c r="F61" i="1"/>
  <c r="F60" i="1"/>
  <c r="F59" i="1"/>
  <c r="F58" i="1"/>
  <c r="F44" i="1"/>
  <c r="F43" i="1"/>
  <c r="F41" i="1"/>
  <c r="F39" i="1"/>
  <c r="F32" i="1"/>
  <c r="F28" i="1"/>
  <c r="F27" i="1"/>
  <c r="F26" i="1"/>
  <c r="F25" i="1"/>
  <c r="F24" i="1"/>
  <c r="F23" i="1"/>
  <c r="F22" i="1"/>
  <c r="F21" i="1"/>
  <c r="F20" i="1"/>
  <c r="F230" i="1" l="1"/>
  <c r="F228" i="1"/>
  <c r="F217" i="1"/>
  <c r="F181" i="1"/>
  <c r="F145" i="1"/>
  <c r="F122" i="1"/>
  <c r="F109" i="1"/>
  <c r="F86" i="1"/>
  <c r="F73" i="1"/>
  <c r="F50" i="1"/>
  <c r="F36" i="1"/>
  <c r="F13" i="1"/>
</calcChain>
</file>

<file path=xl/sharedStrings.xml><?xml version="1.0" encoding="utf-8"?>
<sst xmlns="http://schemas.openxmlformats.org/spreadsheetml/2006/main" count="623" uniqueCount="85">
  <si>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</si>
  <si>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</si>
  <si>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МБОУ "Павловская  СОШ"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</si>
  <si>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</si>
  <si>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</si>
  <si>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</si>
  <si>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</si>
  <si>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</si>
  <si>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</si>
  <si>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Реализация основных образовательных программ дошкольного  образования</t>
  </si>
  <si>
    <t>8010120.99.0.БА81АЭ92001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</si>
  <si>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</si>
  <si>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</si>
  <si>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</si>
  <si>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</si>
  <si>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</si>
  <si>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</si>
  <si>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</si>
  <si>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</si>
  <si>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</si>
  <si>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</si>
  <si>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</si>
  <si>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</si>
  <si>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-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</si>
  <si>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</si>
  <si>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</si>
  <si>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</si>
  <si>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</si>
  <si>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</si>
  <si>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</si>
  <si>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договор</t>
  </si>
  <si>
    <t>утилизация отходов</t>
  </si>
  <si>
    <t>замена светильников освещения и установка слива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</si>
  <si>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</si>
  <si>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</si>
  <si>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Медицинский осмотр работников</t>
  </si>
  <si>
    <t>лабораторные исследования</t>
  </si>
  <si>
    <t xml:space="preserve">приобретение и заправка огнетушителей </t>
  </si>
  <si>
    <t xml:space="preserve">монтаж пуско-наладка и тестирование радиосистемы передачи извещений 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</si>
  <si>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</si>
  <si>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</si>
  <si>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</si>
  <si>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</si>
  <si>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</si>
  <si>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кол-во номеров, ед.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</si>
  <si>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</si>
  <si>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</si>
  <si>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</si>
  <si>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</si>
  <si>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оплата приобритение оборудования и инвентаря</t>
  </si>
  <si>
    <t>приобретение классных журналов с 1-4 классы</t>
  </si>
  <si>
    <t>хозяйственные товары</t>
  </si>
  <si>
    <t>Бумага писчая</t>
  </si>
  <si>
    <t>пачки</t>
  </si>
  <si>
    <t>Расходы за проживание по командировкам и курсы повышения квалификации</t>
  </si>
  <si>
    <t>Продукты питания</t>
  </si>
  <si>
    <t>Реализация основных общеобразовательных программ начального общего образования  образования</t>
  </si>
  <si>
    <t>откачка септика</t>
  </si>
  <si>
    <t xml:space="preserve">обслуживание здания </t>
  </si>
  <si>
    <t>оплата за ремонт оборудования и инвентаря</t>
  </si>
  <si>
    <t>приобретение учебников</t>
  </si>
  <si>
    <t>медикаменты, первязочные средства, витамины, мелкий медицинский инструментарий</t>
  </si>
  <si>
    <t>Оценка условий труда</t>
  </si>
  <si>
    <t xml:space="preserve">Реализация основных общеобразовательных программ основного общего образования  </t>
  </si>
  <si>
    <t>802 1110.99.0.БА96АЮ58001</t>
  </si>
  <si>
    <t>Реализация основных общеобразовательных программ среднего общего  образования</t>
  </si>
  <si>
    <t>802 1120 .99.0.ББ 11АЮ58001</t>
  </si>
  <si>
    <t>560200О.99.0.БА89АА00000</t>
  </si>
  <si>
    <t>Текущий ремонт помещения</t>
  </si>
  <si>
    <t>м2</t>
  </si>
  <si>
    <t>приобретение классных журналов с 10-11классы</t>
  </si>
  <si>
    <t>560200О.99.0.ББ18АА00000</t>
  </si>
  <si>
    <t>Реализация дополнительных  общеразвивающих программ</t>
  </si>
  <si>
    <t>8042000.99.0.ББ52АЖ48000</t>
  </si>
  <si>
    <t>Педагогичкский  работник</t>
  </si>
  <si>
    <t>Организация отдыха детей и молодежи</t>
  </si>
  <si>
    <t>920700О.99.0.А322АА01001</t>
  </si>
  <si>
    <t>Рабочее время</t>
  </si>
  <si>
    <t>часы</t>
  </si>
  <si>
    <t>приобретение классных журналов с 1-4классы</t>
  </si>
  <si>
    <t>оплата набора продуктов питания</t>
  </si>
  <si>
    <t>Присмотр и уход</t>
  </si>
  <si>
    <t xml:space="preserve">Предоставление питания </t>
  </si>
  <si>
    <t>оплата заприобретение оборудования и инвентаря</t>
  </si>
  <si>
    <r>
      <t xml:space="preserve">к приказу </t>
    </r>
    <r>
      <rPr>
        <u/>
        <sz val="12"/>
        <color theme="1"/>
        <rFont val="Times New Roman"/>
        <family val="1"/>
        <charset val="204"/>
      </rPr>
      <t>от 30.12.2022г №44/8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</si>
</sst>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</cellStyleXfs>
  <cellXfs count="91">
    <xf numFmtId="0" fontId="0" fillId="0" borderId="0" xfId="0"/>
    <xf numFmtId="0" fontId="0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4" fontId="0" fillId="0" borderId="0" xfId="0" applyNumberFormat="1" applyAlignment="1">
      <alignment horizontal="center" wrapText="1"/>
    </xf>
    <xf numFmtId="0" fontId="0" fillId="0" borderId="0" xfId="0" applyFill="1" applyAlignment="1">
      <alignment horizontal="center" wrapText="1"/>
    </xf>
    <xf numFmtId="4" fontId="3" fillId="0" borderId="0" xfId="0" applyNumberFormat="1" applyFont="1" applyFill="1" applyAlignment="1">
      <alignment horizontal="center"/>
    </xf>
    <xf numFmtId="4" fontId="0" fillId="0" borderId="0" xfId="0" applyNumberFormat="1"/>
    <xf numFmtId="0" fontId="4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/>
    </xf>
    <xf numFmtId="4" fontId="5" fillId="2" borderId="2" xfId="0" applyNumberFormat="1" applyFont="1" applyFill="1" applyBorder="1" applyAlignment="1">
      <alignment horizontal="center"/>
    </xf>
    <xf numFmtId="0" fontId="0" fillId="2" borderId="0" xfId="0" applyFill="1"/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0" fontId="4" fillId="0" borderId="2" xfId="0" applyFont="1" applyBorder="1" applyAlignment="1">
      <alignment wrapText="1"/>
    </xf>
    <xf numFmtId="4" fontId="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7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3" fontId="5" fillId="0" borderId="2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left" wrapText="1"/>
    </xf>
    <xf numFmtId="3" fontId="5" fillId="0" borderId="6" xfId="0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vertical="center" readingOrder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left" wrapText="1"/>
    </xf>
    <xf numFmtId="0" fontId="4" fillId="0" borderId="2" xfId="0" applyFont="1" applyBorder="1" applyAlignment="1">
      <alignment horizontal="left"/>
    </xf>
    <xf numFmtId="0" fontId="4" fillId="0" borderId="2" xfId="0" applyFont="1" applyBorder="1" applyAlignment="1">
      <alignment horizontal="left" wrapText="1"/>
    </xf>
    <xf numFmtId="0" fontId="4" fillId="0" borderId="2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left"/>
    </xf>
    <xf numFmtId="0" fontId="9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wrapText="1"/>
    </xf>
    <xf numFmtId="0" fontId="5" fillId="0" borderId="4" xfId="0" applyFont="1" applyFill="1" applyBorder="1" applyAlignment="1">
      <alignment horizontal="left" wrapText="1"/>
    </xf>
    <xf numFmtId="0" fontId="4" fillId="0" borderId="6" xfId="0" applyFont="1" applyFill="1" applyBorder="1" applyAlignment="1">
      <alignment horizontal="left" wrapText="1"/>
    </xf>
    <xf numFmtId="0" fontId="0" fillId="0" borderId="0" xfId="0" applyBorder="1"/>
    <xf numFmtId="0" fontId="4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top" wrapText="1"/>
    </xf>
    <xf numFmtId="4" fontId="5" fillId="0" borderId="7" xfId="0" applyNumberFormat="1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4" fontId="3" fillId="0" borderId="0" xfId="0" applyNumberFormat="1" applyFont="1" applyAlignment="1">
      <alignment horizontal="center"/>
    </xf>
    <xf numFmtId="0" fontId="0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4" fontId="0" fillId="0" borderId="0" xfId="0" applyNumberFormat="1" applyBorder="1"/>
    <xf numFmtId="4" fontId="12" fillId="0" borderId="0" xfId="0" applyNumberFormat="1" applyFont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wrapText="1"/>
    </xf>
    <xf numFmtId="4" fontId="5" fillId="2" borderId="6" xfId="0" applyNumberFormat="1" applyFont="1" applyFill="1" applyBorder="1" applyAlignment="1">
      <alignment horizontal="center" wrapText="1"/>
    </xf>
    <xf numFmtId="4" fontId="0" fillId="2" borderId="0" xfId="0" applyNumberFormat="1" applyFill="1" applyBorder="1"/>
    <xf numFmtId="4" fontId="0" fillId="0" borderId="0" xfId="0" applyNumberFormat="1" applyBorder="1" applyAlignment="1">
      <alignment vertical="center" wrapText="1"/>
    </xf>
    <xf numFmtId="0" fontId="0" fillId="2" borderId="0" xfId="0" applyFill="1" applyBorder="1"/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textRotation="90" wrapText="1"/>
    </xf>
    <xf numFmtId="49" fontId="6" fillId="0" borderId="7" xfId="0" applyNumberFormat="1" applyFont="1" applyFill="1" applyBorder="1" applyAlignment="1">
      <alignment horizontal="center" vertical="center" textRotation="90" wrapText="1"/>
    </xf>
    <xf numFmtId="49" fontId="6" fillId="0" borderId="8" xfId="0" applyNumberFormat="1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textRotation="90" wrapText="1"/>
    </xf>
    <xf numFmtId="0" fontId="0" fillId="0" borderId="7" xfId="0" applyFont="1" applyFill="1" applyBorder="1" applyAlignment="1">
      <alignment horizontal="center" vertical="center" textRotation="90" wrapText="1"/>
    </xf>
    <xf numFmtId="0" fontId="0" fillId="0" borderId="8" xfId="0" applyFont="1" applyFill="1" applyBorder="1" applyAlignment="1">
      <alignment horizontal="center" vertical="center" textRotation="90" wrapText="1"/>
    </xf>
  </cellXfs>
  <cellStyles count="4">
    <cellStyle name="Обычный" xfId="0" builtinId="0"/>
    <cellStyle name="Обычный 2" xfId="2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Z300"/>
  <sheetViews>
    <sheetView tabSelected="1" workbookViewId="0">
      <selection activeCell="G7" sqref="G7"/>
    </sheetView>
  </sheetViews>
  <sheetFormatPr defaultColWidth="9.140625" defaultRowHeight="15" x14ac:dyDescent="0.25"/>
  <cols>
    <col min="1" max="1" width="27" style="56" customWidth="1"/>
    <col min="2" max="2" width="12.140625" style="59" customWidth="1"/>
    <col min="3" max="3" width="11.140625" style="59" customWidth="1"/>
    <col min="4" max="4" width="39" style="56" customWidth="1"/>
    <col min="5" max="5" width="17.7109375" style="56" customWidth="1"/>
    <col min="6" max="6" width="15.42578125" style="57" customWidth="1"/>
    <col min="7" max="7" width="13" style="6" customWidth="1"/>
    <col min="8" max="8" width="16.5703125" style="50" customWidth="1"/>
    <col min="9" max="9" width="17.140625" customWidth="1"/>
    <col min="10" max="10" width="10" bestFit="1" customWidth="1"/>
    <col min="11" max="11" width="5.5703125" customWidth="1"/>
    <col min="12" max="12" width="8.7109375" customWidth="1"/>
    <col min="14" max="14" width="11.42578125" bestFit="1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58"/>
      <c r="C1" s="58"/>
      <c r="D1" s="2"/>
      <c r="E1" s="67" t="s">
        <v>0</v>
      </c>
      <c r="F1" s="67"/>
      <c r="G1" s="3"/>
    </row>
    <row r="2" spans="1:12" ht="15.75" customHeight="1" x14ac:dyDescent="0.25">
      <c r="A2" s="1"/>
      <c r="B2" s="58"/>
      <c r="C2" s="58"/>
      <c r="D2" s="2"/>
      <c r="E2" s="67" t="s">
        <v>84</v>
      </c>
      <c r="F2" s="67"/>
      <c r="G2" s="3"/>
      <c r="I2" s="4"/>
      <c r="J2" s="4"/>
      <c r="K2" s="4"/>
      <c r="L2" s="4"/>
    </row>
    <row r="3" spans="1:12" hidden="1" x14ac:dyDescent="0.25">
      <c r="A3" s="1"/>
      <c r="B3" s="58"/>
      <c r="C3" s="58"/>
      <c r="D3" s="1"/>
      <c r="E3" s="1"/>
      <c r="F3" s="5"/>
    </row>
    <row r="4" spans="1:12" x14ac:dyDescent="0.25">
      <c r="A4" s="1"/>
      <c r="B4" s="58"/>
      <c r="C4" s="58"/>
      <c r="D4" s="1"/>
      <c r="E4" s="1"/>
      <c r="F4" s="5"/>
      <c r="G4"/>
    </row>
    <row r="5" spans="1:12" ht="54.75" customHeight="1" x14ac:dyDescent="0.25">
      <c r="A5" s="68" t="s">
        <v>1</v>
      </c>
      <c r="B5" s="68"/>
      <c r="C5" s="68"/>
      <c r="D5" s="68"/>
      <c r="E5" s="68"/>
      <c r="F5" s="68"/>
      <c r="G5"/>
    </row>
    <row r="6" spans="1:12" ht="13.5" customHeight="1" x14ac:dyDescent="0.25">
      <c r="A6" s="69" t="s">
        <v>2</v>
      </c>
      <c r="B6" s="69"/>
      <c r="C6" s="69"/>
      <c r="D6" s="69"/>
      <c r="E6" s="69"/>
      <c r="F6" s="69"/>
      <c r="G6"/>
    </row>
    <row r="7" spans="1:12" ht="105.75" customHeight="1" x14ac:dyDescent="0.25">
      <c r="A7" s="7" t="s">
        <v>3</v>
      </c>
      <c r="B7" s="51" t="s">
        <v>4</v>
      </c>
      <c r="C7" s="51" t="s">
        <v>5</v>
      </c>
      <c r="D7" s="7" t="s">
        <v>6</v>
      </c>
      <c r="E7" s="7" t="s">
        <v>7</v>
      </c>
      <c r="F7" s="8" t="s">
        <v>8</v>
      </c>
      <c r="G7"/>
    </row>
    <row r="8" spans="1:12" ht="13.5" customHeigh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/>
    </row>
    <row r="9" spans="1:12" ht="15" customHeight="1" x14ac:dyDescent="0.25">
      <c r="A9" s="70" t="s">
        <v>9</v>
      </c>
      <c r="B9" s="73" t="s">
        <v>10</v>
      </c>
      <c r="C9" s="73" t="s">
        <v>11</v>
      </c>
      <c r="D9" s="76" t="s">
        <v>12</v>
      </c>
      <c r="E9" s="77"/>
      <c r="F9" s="78"/>
      <c r="G9"/>
    </row>
    <row r="10" spans="1:12" x14ac:dyDescent="0.25">
      <c r="A10" s="71"/>
      <c r="B10" s="74"/>
      <c r="C10" s="74"/>
      <c r="D10" s="79" t="s">
        <v>13</v>
      </c>
      <c r="E10" s="79"/>
      <c r="F10" s="79"/>
      <c r="G10"/>
    </row>
    <row r="11" spans="1:12" s="14" customFormat="1" x14ac:dyDescent="0.25">
      <c r="A11" s="71"/>
      <c r="B11" s="74"/>
      <c r="C11" s="74"/>
      <c r="D11" s="11" t="s">
        <v>14</v>
      </c>
      <c r="E11" s="12" t="s">
        <v>15</v>
      </c>
      <c r="F11" s="13">
        <v>14</v>
      </c>
      <c r="H11" s="64"/>
    </row>
    <row r="12" spans="1:12" x14ac:dyDescent="0.25">
      <c r="A12" s="71"/>
      <c r="B12" s="74"/>
      <c r="C12" s="74"/>
      <c r="D12" s="15" t="s">
        <v>16</v>
      </c>
      <c r="E12" s="16" t="s">
        <v>17</v>
      </c>
      <c r="F12" s="17">
        <f>2575450.9/24</f>
        <v>107310.45416666666</v>
      </c>
      <c r="G12"/>
      <c r="H12" s="60"/>
    </row>
    <row r="13" spans="1:12" x14ac:dyDescent="0.25">
      <c r="A13" s="71"/>
      <c r="B13" s="74"/>
      <c r="C13" s="74"/>
      <c r="D13" s="18" t="s">
        <v>18</v>
      </c>
      <c r="E13" s="16" t="s">
        <v>17</v>
      </c>
      <c r="F13" s="19">
        <f>F12*30.2%</f>
        <v>32407.75715833333</v>
      </c>
      <c r="G13"/>
      <c r="H13" s="60"/>
    </row>
    <row r="14" spans="1:12" x14ac:dyDescent="0.25">
      <c r="A14" s="71"/>
      <c r="B14" s="74"/>
      <c r="C14" s="74"/>
      <c r="D14" s="76" t="s">
        <v>19</v>
      </c>
      <c r="E14" s="77"/>
      <c r="F14" s="78"/>
      <c r="G14"/>
      <c r="H14" s="60"/>
    </row>
    <row r="15" spans="1:12" x14ac:dyDescent="0.25">
      <c r="A15" s="71"/>
      <c r="B15" s="74"/>
      <c r="C15" s="74"/>
      <c r="D15" s="79" t="s">
        <v>20</v>
      </c>
      <c r="E15" s="79"/>
      <c r="F15" s="79"/>
      <c r="G15"/>
      <c r="H15" s="60"/>
      <c r="I15" s="6"/>
    </row>
    <row r="16" spans="1:12" x14ac:dyDescent="0.25">
      <c r="A16" s="71"/>
      <c r="B16" s="74"/>
      <c r="C16" s="74"/>
      <c r="D16" s="20" t="s">
        <v>21</v>
      </c>
      <c r="E16" s="21" t="s">
        <v>22</v>
      </c>
      <c r="F16" s="8" t="s">
        <v>23</v>
      </c>
      <c r="G16"/>
      <c r="H16" s="60"/>
    </row>
    <row r="17" spans="1:8" x14ac:dyDescent="0.25">
      <c r="A17" s="71"/>
      <c r="B17" s="74"/>
      <c r="C17" s="74"/>
      <c r="D17" s="20" t="s">
        <v>24</v>
      </c>
      <c r="E17" s="21" t="s">
        <v>25</v>
      </c>
      <c r="F17" s="22" t="s">
        <v>23</v>
      </c>
      <c r="G17"/>
    </row>
    <row r="18" spans="1:8" ht="15" customHeight="1" x14ac:dyDescent="0.25">
      <c r="A18" s="71"/>
      <c r="B18" s="74"/>
      <c r="C18" s="74"/>
      <c r="D18" s="20" t="s">
        <v>26</v>
      </c>
      <c r="E18" s="21" t="s">
        <v>27</v>
      </c>
      <c r="F18" s="22" t="s">
        <v>23</v>
      </c>
      <c r="G18"/>
      <c r="H18" s="65"/>
    </row>
    <row r="19" spans="1:8" ht="25.5" customHeight="1" x14ac:dyDescent="0.25">
      <c r="A19" s="71"/>
      <c r="B19" s="74"/>
      <c r="C19" s="74"/>
      <c r="D19" s="76" t="s">
        <v>28</v>
      </c>
      <c r="E19" s="77"/>
      <c r="F19" s="78"/>
      <c r="G19"/>
    </row>
    <row r="20" spans="1:8" x14ac:dyDescent="0.25">
      <c r="A20" s="71"/>
      <c r="B20" s="74"/>
      <c r="C20" s="74"/>
      <c r="D20" s="23" t="s">
        <v>29</v>
      </c>
      <c r="E20" s="24" t="s">
        <v>30</v>
      </c>
      <c r="F20" s="25">
        <f>6400/24</f>
        <v>266.66666666666669</v>
      </c>
      <c r="G20"/>
    </row>
    <row r="21" spans="1:8" x14ac:dyDescent="0.25">
      <c r="A21" s="71"/>
      <c r="B21" s="74"/>
      <c r="C21" s="74"/>
      <c r="D21" s="23" t="s">
        <v>31</v>
      </c>
      <c r="E21" s="24" t="s">
        <v>30</v>
      </c>
      <c r="F21" s="25">
        <f>21207.96+500/24</f>
        <v>21228.793333333331</v>
      </c>
      <c r="G21"/>
      <c r="H21" s="60"/>
    </row>
    <row r="22" spans="1:8" ht="25.5" x14ac:dyDescent="0.25">
      <c r="A22" s="71"/>
      <c r="B22" s="74"/>
      <c r="C22" s="74"/>
      <c r="D22" s="26" t="s">
        <v>32</v>
      </c>
      <c r="E22" s="7" t="s">
        <v>30</v>
      </c>
      <c r="F22" s="8">
        <f>7500.04+7000/24</f>
        <v>7791.7066666666669</v>
      </c>
      <c r="G22"/>
    </row>
    <row r="23" spans="1:8" x14ac:dyDescent="0.25">
      <c r="A23" s="71"/>
      <c r="B23" s="74"/>
      <c r="C23" s="74"/>
      <c r="D23" s="26" t="s">
        <v>33</v>
      </c>
      <c r="E23" s="24" t="s">
        <v>30</v>
      </c>
      <c r="F23" s="17">
        <f>22000/24</f>
        <v>916.66666666666663</v>
      </c>
      <c r="G23"/>
      <c r="H23" s="60"/>
    </row>
    <row r="24" spans="1:8" ht="39" x14ac:dyDescent="0.25">
      <c r="A24" s="71"/>
      <c r="B24" s="74"/>
      <c r="C24" s="74"/>
      <c r="D24" s="27" t="s">
        <v>34</v>
      </c>
      <c r="E24" s="24" t="s">
        <v>30</v>
      </c>
      <c r="F24" s="17">
        <f>24600/24</f>
        <v>1025</v>
      </c>
      <c r="G24"/>
      <c r="H24" s="60"/>
    </row>
    <row r="25" spans="1:8" x14ac:dyDescent="0.25">
      <c r="A25" s="71"/>
      <c r="B25" s="74"/>
      <c r="C25" s="74"/>
      <c r="D25" s="26" t="s">
        <v>35</v>
      </c>
      <c r="E25" s="24" t="s">
        <v>30</v>
      </c>
      <c r="F25" s="17">
        <f>16600/24</f>
        <v>691.66666666666663</v>
      </c>
      <c r="G25"/>
      <c r="H25" s="60"/>
    </row>
    <row r="26" spans="1:8" x14ac:dyDescent="0.25">
      <c r="A26" s="71"/>
      <c r="B26" s="74"/>
      <c r="C26" s="74"/>
      <c r="D26" s="26" t="s">
        <v>36</v>
      </c>
      <c r="E26" s="24" t="s">
        <v>30</v>
      </c>
      <c r="F26" s="28">
        <f>6600/24</f>
        <v>275</v>
      </c>
      <c r="G26"/>
    </row>
    <row r="27" spans="1:8" x14ac:dyDescent="0.25">
      <c r="A27" s="71"/>
      <c r="B27" s="74"/>
      <c r="C27" s="74"/>
      <c r="D27" s="27" t="s">
        <v>37</v>
      </c>
      <c r="E27" s="24" t="s">
        <v>30</v>
      </c>
      <c r="F27" s="28">
        <f>3400+6800/24</f>
        <v>3683.3333333333335</v>
      </c>
      <c r="G27"/>
    </row>
    <row r="28" spans="1:8" ht="26.25" x14ac:dyDescent="0.25">
      <c r="A28" s="71"/>
      <c r="B28" s="74"/>
      <c r="C28" s="74"/>
      <c r="D28" s="29" t="s">
        <v>38</v>
      </c>
      <c r="E28" s="24" t="s">
        <v>30</v>
      </c>
      <c r="F28" s="30">
        <f>17292/24</f>
        <v>720.5</v>
      </c>
      <c r="G28"/>
    </row>
    <row r="29" spans="1:8" ht="23.25" customHeight="1" x14ac:dyDescent="0.25">
      <c r="A29" s="71"/>
      <c r="B29" s="74"/>
      <c r="C29" s="74"/>
      <c r="D29" s="76" t="s">
        <v>39</v>
      </c>
      <c r="E29" s="77"/>
      <c r="F29" s="78"/>
      <c r="G29"/>
    </row>
    <row r="30" spans="1:8" x14ac:dyDescent="0.25">
      <c r="A30" s="71"/>
      <c r="B30" s="74"/>
      <c r="C30" s="74"/>
      <c r="D30" s="26" t="s">
        <v>40</v>
      </c>
      <c r="E30" s="31" t="s">
        <v>41</v>
      </c>
      <c r="F30" s="8">
        <v>3</v>
      </c>
      <c r="G30"/>
    </row>
    <row r="31" spans="1:8" x14ac:dyDescent="0.25">
      <c r="A31" s="71"/>
      <c r="B31" s="74"/>
      <c r="C31" s="74"/>
      <c r="D31" s="76" t="s">
        <v>42</v>
      </c>
      <c r="E31" s="77"/>
      <c r="F31" s="78"/>
      <c r="G31"/>
    </row>
    <row r="32" spans="1:8" x14ac:dyDescent="0.25">
      <c r="A32" s="71"/>
      <c r="B32" s="74"/>
      <c r="C32" s="74"/>
      <c r="D32" s="32" t="s">
        <v>43</v>
      </c>
      <c r="E32" s="33" t="s">
        <v>30</v>
      </c>
      <c r="F32" s="8">
        <f>20400/24</f>
        <v>850</v>
      </c>
      <c r="G32"/>
    </row>
    <row r="33" spans="1:8" ht="24.75" customHeight="1" x14ac:dyDescent="0.25">
      <c r="A33" s="71"/>
      <c r="B33" s="74"/>
      <c r="C33" s="74"/>
      <c r="D33" s="79" t="s">
        <v>45</v>
      </c>
      <c r="E33" s="79"/>
      <c r="F33" s="79"/>
      <c r="G33"/>
    </row>
    <row r="34" spans="1:8" s="14" customFormat="1" ht="21.75" customHeight="1" x14ac:dyDescent="0.25">
      <c r="A34" s="71"/>
      <c r="B34" s="74"/>
      <c r="C34" s="74"/>
      <c r="D34" s="34" t="s">
        <v>46</v>
      </c>
      <c r="E34" s="35" t="s">
        <v>15</v>
      </c>
      <c r="F34" s="36">
        <v>8</v>
      </c>
      <c r="H34" s="66"/>
    </row>
    <row r="35" spans="1:8" x14ac:dyDescent="0.25">
      <c r="A35" s="71"/>
      <c r="B35" s="74"/>
      <c r="C35" s="74"/>
      <c r="D35" s="15" t="s">
        <v>16</v>
      </c>
      <c r="E35" s="16" t="s">
        <v>17</v>
      </c>
      <c r="F35" s="19">
        <f>2660600/24</f>
        <v>110858.33333333333</v>
      </c>
      <c r="G35"/>
    </row>
    <row r="36" spans="1:8" x14ac:dyDescent="0.25">
      <c r="A36" s="71"/>
      <c r="B36" s="74"/>
      <c r="C36" s="74"/>
      <c r="D36" s="18" t="s">
        <v>18</v>
      </c>
      <c r="E36" s="16" t="s">
        <v>17</v>
      </c>
      <c r="F36" s="19">
        <f>F35*30.2%</f>
        <v>33479.216666666667</v>
      </c>
      <c r="G36"/>
    </row>
    <row r="37" spans="1:8" x14ac:dyDescent="0.25">
      <c r="A37" s="71"/>
      <c r="B37" s="74"/>
      <c r="C37" s="74"/>
      <c r="D37" s="79" t="s">
        <v>47</v>
      </c>
      <c r="E37" s="79"/>
      <c r="F37" s="79"/>
      <c r="G37"/>
    </row>
    <row r="38" spans="1:8" x14ac:dyDescent="0.25">
      <c r="A38" s="71"/>
      <c r="B38" s="74"/>
      <c r="C38" s="74"/>
      <c r="D38" s="37" t="s">
        <v>48</v>
      </c>
      <c r="E38" s="38" t="s">
        <v>17</v>
      </c>
      <c r="F38" s="39" t="s">
        <v>23</v>
      </c>
      <c r="G38"/>
    </row>
    <row r="39" spans="1:8" ht="26.25" x14ac:dyDescent="0.25">
      <c r="A39" s="71"/>
      <c r="B39" s="74"/>
      <c r="C39" s="74"/>
      <c r="D39" s="37" t="s">
        <v>49</v>
      </c>
      <c r="E39" s="38" t="s">
        <v>17</v>
      </c>
      <c r="F39" s="39">
        <f>26000/24</f>
        <v>1083.3333333333333</v>
      </c>
      <c r="G39"/>
    </row>
    <row r="40" spans="1:8" ht="26.25" x14ac:dyDescent="0.25">
      <c r="A40" s="71"/>
      <c r="B40" s="74"/>
      <c r="C40" s="74"/>
      <c r="D40" s="37" t="s">
        <v>50</v>
      </c>
      <c r="E40" s="38" t="s">
        <v>17</v>
      </c>
      <c r="F40" s="39" t="s">
        <v>23</v>
      </c>
      <c r="G40"/>
    </row>
    <row r="41" spans="1:8" x14ac:dyDescent="0.25">
      <c r="A41" s="71"/>
      <c r="B41" s="74"/>
      <c r="C41" s="74"/>
      <c r="D41" s="37" t="s">
        <v>51</v>
      </c>
      <c r="E41" s="38" t="s">
        <v>17</v>
      </c>
      <c r="F41" s="39">
        <f>30000/24</f>
        <v>1250</v>
      </c>
      <c r="G41"/>
    </row>
    <row r="42" spans="1:8" x14ac:dyDescent="0.25">
      <c r="A42" s="71"/>
      <c r="B42" s="74"/>
      <c r="C42" s="74"/>
      <c r="D42" s="37" t="s">
        <v>52</v>
      </c>
      <c r="E42" s="38" t="s">
        <v>53</v>
      </c>
      <c r="F42" s="19" t="s">
        <v>23</v>
      </c>
      <c r="G42"/>
    </row>
    <row r="43" spans="1:8" ht="26.25" x14ac:dyDescent="0.25">
      <c r="A43" s="71"/>
      <c r="B43" s="74"/>
      <c r="C43" s="74"/>
      <c r="D43" s="37" t="s">
        <v>54</v>
      </c>
      <c r="E43" s="40" t="s">
        <v>17</v>
      </c>
      <c r="F43" s="39">
        <f>5600/24</f>
        <v>233.33333333333334</v>
      </c>
      <c r="G43"/>
    </row>
    <row r="44" spans="1:8" x14ac:dyDescent="0.25">
      <c r="A44" s="71"/>
      <c r="B44" s="74"/>
      <c r="C44" s="74"/>
      <c r="D44" s="26" t="s">
        <v>35</v>
      </c>
      <c r="E44" s="40" t="s">
        <v>17</v>
      </c>
      <c r="F44" s="39">
        <f>32000/24</f>
        <v>1333.3333333333333</v>
      </c>
      <c r="G44"/>
    </row>
    <row r="45" spans="1:8" x14ac:dyDescent="0.25">
      <c r="A45" s="72"/>
      <c r="B45" s="75"/>
      <c r="C45" s="75"/>
      <c r="D45" s="37" t="s">
        <v>55</v>
      </c>
      <c r="E45" s="40" t="s">
        <v>17</v>
      </c>
      <c r="F45" s="39">
        <f>349000/24</f>
        <v>14541.666666666666</v>
      </c>
      <c r="G45"/>
    </row>
    <row r="46" spans="1:8" ht="27" customHeight="1" x14ac:dyDescent="0.25">
      <c r="A46" s="70" t="s">
        <v>56</v>
      </c>
      <c r="B46" s="73" t="s">
        <v>10</v>
      </c>
      <c r="C46" s="73" t="s">
        <v>11</v>
      </c>
      <c r="D46" s="84" t="s">
        <v>12</v>
      </c>
      <c r="E46" s="85"/>
      <c r="F46" s="86"/>
      <c r="G46"/>
    </row>
    <row r="47" spans="1:8" x14ac:dyDescent="0.25">
      <c r="A47" s="71"/>
      <c r="B47" s="74"/>
      <c r="C47" s="74"/>
      <c r="D47" s="81" t="s">
        <v>13</v>
      </c>
      <c r="E47" s="82"/>
      <c r="F47" s="83"/>
      <c r="G47"/>
    </row>
    <row r="48" spans="1:8" x14ac:dyDescent="0.25">
      <c r="A48" s="71"/>
      <c r="B48" s="74"/>
      <c r="C48" s="74"/>
      <c r="D48" s="41" t="s">
        <v>14</v>
      </c>
      <c r="E48" s="40" t="s">
        <v>15</v>
      </c>
      <c r="F48" s="17">
        <v>35.28</v>
      </c>
    </row>
    <row r="49" spans="1:9" ht="15.75" x14ac:dyDescent="0.25">
      <c r="A49" s="71"/>
      <c r="B49" s="74"/>
      <c r="C49" s="74"/>
      <c r="D49" s="42" t="s">
        <v>16</v>
      </c>
      <c r="E49" s="16" t="s">
        <v>17</v>
      </c>
      <c r="F49" s="17">
        <f>13682700*0.17/44</f>
        <v>52864.977272727272</v>
      </c>
      <c r="G49"/>
      <c r="H49" s="61"/>
    </row>
    <row r="50" spans="1:9" x14ac:dyDescent="0.25">
      <c r="A50" s="71"/>
      <c r="B50" s="74"/>
      <c r="C50" s="74"/>
      <c r="D50" s="43" t="s">
        <v>18</v>
      </c>
      <c r="E50" s="16" t="s">
        <v>17</v>
      </c>
      <c r="F50" s="19">
        <f>F49*30.2%</f>
        <v>15965.223136363637</v>
      </c>
      <c r="G50"/>
      <c r="H50" s="60"/>
      <c r="I50" s="6"/>
    </row>
    <row r="51" spans="1:9" ht="15.75" x14ac:dyDescent="0.25">
      <c r="A51" s="71"/>
      <c r="B51" s="74"/>
      <c r="C51" s="74"/>
      <c r="D51" s="81" t="s">
        <v>19</v>
      </c>
      <c r="E51" s="82"/>
      <c r="F51" s="83"/>
      <c r="G51"/>
      <c r="H51" s="61"/>
    </row>
    <row r="52" spans="1:9" x14ac:dyDescent="0.25">
      <c r="A52" s="71"/>
      <c r="B52" s="74"/>
      <c r="C52" s="74"/>
      <c r="D52" s="80" t="s">
        <v>20</v>
      </c>
      <c r="E52" s="80"/>
      <c r="F52" s="80"/>
      <c r="G52"/>
      <c r="H52" s="60"/>
      <c r="I52" s="6"/>
    </row>
    <row r="53" spans="1:9" x14ac:dyDescent="0.25">
      <c r="A53" s="71"/>
      <c r="B53" s="74"/>
      <c r="C53" s="74"/>
      <c r="D53" s="44" t="s">
        <v>21</v>
      </c>
      <c r="E53" s="21" t="s">
        <v>22</v>
      </c>
      <c r="F53" s="62">
        <f>600000*0.17/44</f>
        <v>2318.1818181818185</v>
      </c>
    </row>
    <row r="54" spans="1:9" x14ac:dyDescent="0.25">
      <c r="A54" s="71"/>
      <c r="B54" s="74"/>
      <c r="C54" s="74"/>
      <c r="D54" s="44" t="s">
        <v>24</v>
      </c>
      <c r="E54" s="21" t="s">
        <v>25</v>
      </c>
      <c r="F54" s="62">
        <f>1800000*0.17/44</f>
        <v>6954.545454545455</v>
      </c>
      <c r="G54"/>
      <c r="H54" s="60"/>
    </row>
    <row r="55" spans="1:9" ht="15.75" x14ac:dyDescent="0.25">
      <c r="A55" s="71"/>
      <c r="B55" s="74"/>
      <c r="C55" s="74"/>
      <c r="D55" s="44" t="s">
        <v>26</v>
      </c>
      <c r="E55" s="21" t="s">
        <v>27</v>
      </c>
      <c r="F55" s="62">
        <f>44000*0.17/44</f>
        <v>170.00000000000003</v>
      </c>
      <c r="G55"/>
      <c r="H55" s="60"/>
    </row>
    <row r="56" spans="1:9" x14ac:dyDescent="0.25">
      <c r="A56" s="71"/>
      <c r="B56" s="74"/>
      <c r="C56" s="74"/>
      <c r="D56" s="45" t="s">
        <v>57</v>
      </c>
      <c r="E56" s="21" t="s">
        <v>30</v>
      </c>
      <c r="F56" s="63">
        <f>0.17*150000/44</f>
        <v>579.54545454545462</v>
      </c>
      <c r="G56"/>
    </row>
    <row r="57" spans="1:9" ht="34.5" customHeight="1" x14ac:dyDescent="0.25">
      <c r="A57" s="71"/>
      <c r="B57" s="74"/>
      <c r="C57" s="74"/>
      <c r="D57" s="81" t="s">
        <v>28</v>
      </c>
      <c r="E57" s="82"/>
      <c r="F57" s="83"/>
      <c r="G57"/>
      <c r="H57" s="60"/>
    </row>
    <row r="58" spans="1:9" x14ac:dyDescent="0.25">
      <c r="A58" s="71"/>
      <c r="B58" s="74"/>
      <c r="C58" s="74"/>
      <c r="D58" s="26" t="s">
        <v>29</v>
      </c>
      <c r="E58" s="24" t="s">
        <v>30</v>
      </c>
      <c r="F58" s="25">
        <f>4878.34*0.23/44</f>
        <v>25.500413636363636</v>
      </c>
      <c r="H58" s="60"/>
    </row>
    <row r="59" spans="1:9" x14ac:dyDescent="0.25">
      <c r="A59" s="71"/>
      <c r="B59" s="74"/>
      <c r="C59" s="74"/>
      <c r="D59" s="26" t="s">
        <v>31</v>
      </c>
      <c r="E59" s="24" t="s">
        <v>30</v>
      </c>
      <c r="F59" s="25">
        <f>(42321.66+200)*0.23/44</f>
        <v>222.27231363636366</v>
      </c>
      <c r="H59" s="60"/>
    </row>
    <row r="60" spans="1:9" x14ac:dyDescent="0.25">
      <c r="A60" s="71"/>
      <c r="B60" s="74"/>
      <c r="C60" s="74"/>
      <c r="D60" s="26" t="s">
        <v>58</v>
      </c>
      <c r="E60" s="7" t="s">
        <v>30</v>
      </c>
      <c r="F60" s="8">
        <f>0.33*(21600+6800)/44</f>
        <v>213</v>
      </c>
      <c r="G60"/>
    </row>
    <row r="61" spans="1:9" x14ac:dyDescent="0.25">
      <c r="A61" s="71"/>
      <c r="B61" s="74"/>
      <c r="C61" s="74"/>
      <c r="D61" s="26" t="s">
        <v>33</v>
      </c>
      <c r="E61" s="24" t="s">
        <v>30</v>
      </c>
      <c r="F61" s="17">
        <f>32000*0.33/44</f>
        <v>240</v>
      </c>
      <c r="G61"/>
      <c r="H61" s="60"/>
    </row>
    <row r="62" spans="1:9" ht="39" x14ac:dyDescent="0.25">
      <c r="A62" s="71"/>
      <c r="B62" s="74"/>
      <c r="C62" s="74"/>
      <c r="D62" s="29" t="s">
        <v>34</v>
      </c>
      <c r="E62" s="24" t="s">
        <v>30</v>
      </c>
      <c r="F62" s="17">
        <f>24000*0.33/44</f>
        <v>180</v>
      </c>
      <c r="G62"/>
      <c r="H62" s="60"/>
    </row>
    <row r="63" spans="1:9" x14ac:dyDescent="0.25">
      <c r="A63" s="71"/>
      <c r="B63" s="74"/>
      <c r="C63" s="74"/>
      <c r="D63" s="26" t="s">
        <v>35</v>
      </c>
      <c r="E63" s="24" t="s">
        <v>30</v>
      </c>
      <c r="F63" s="17">
        <f>120000*0.33/44</f>
        <v>900</v>
      </c>
      <c r="G63"/>
      <c r="H63" s="60"/>
    </row>
    <row r="64" spans="1:9" x14ac:dyDescent="0.25">
      <c r="A64" s="71"/>
      <c r="B64" s="74"/>
      <c r="C64" s="74"/>
      <c r="D64" s="26" t="s">
        <v>36</v>
      </c>
      <c r="E64" s="24" t="s">
        <v>30</v>
      </c>
      <c r="F64" s="17">
        <f>28000*0.33/44</f>
        <v>210</v>
      </c>
      <c r="G64"/>
    </row>
    <row r="65" spans="1:8" x14ac:dyDescent="0.25">
      <c r="A65" s="71"/>
      <c r="B65" s="74"/>
      <c r="C65" s="74"/>
      <c r="D65" s="29" t="s">
        <v>51</v>
      </c>
      <c r="E65" s="24" t="s">
        <v>30</v>
      </c>
      <c r="F65" s="17">
        <f>50000*0.33/44</f>
        <v>375</v>
      </c>
      <c r="G65"/>
    </row>
    <row r="66" spans="1:8" ht="29.25" customHeight="1" x14ac:dyDescent="0.25">
      <c r="A66" s="71"/>
      <c r="B66" s="74"/>
      <c r="C66" s="74"/>
      <c r="D66" s="81" t="s">
        <v>39</v>
      </c>
      <c r="E66" s="82"/>
      <c r="F66" s="83"/>
      <c r="G66"/>
    </row>
    <row r="67" spans="1:8" x14ac:dyDescent="0.25">
      <c r="A67" s="71"/>
      <c r="B67" s="74"/>
      <c r="C67" s="74"/>
      <c r="D67" s="26" t="s">
        <v>40</v>
      </c>
      <c r="E67" s="46" t="s">
        <v>41</v>
      </c>
      <c r="F67" s="8">
        <v>6</v>
      </c>
      <c r="G67"/>
      <c r="H67" s="60"/>
    </row>
    <row r="68" spans="1:8" x14ac:dyDescent="0.25">
      <c r="A68" s="71"/>
      <c r="B68" s="74"/>
      <c r="C68" s="74"/>
      <c r="D68" s="81" t="s">
        <v>42</v>
      </c>
      <c r="E68" s="82"/>
      <c r="F68" s="83"/>
      <c r="G68"/>
    </row>
    <row r="69" spans="1:8" x14ac:dyDescent="0.25">
      <c r="A69" s="71"/>
      <c r="B69" s="74"/>
      <c r="C69" s="74"/>
      <c r="D69" s="47" t="s">
        <v>43</v>
      </c>
      <c r="E69" s="33" t="s">
        <v>30</v>
      </c>
      <c r="F69" s="8">
        <f>0.33*95500/44</f>
        <v>716.25</v>
      </c>
      <c r="G69"/>
    </row>
    <row r="70" spans="1:8" ht="30" customHeight="1" x14ac:dyDescent="0.25">
      <c r="A70" s="71"/>
      <c r="B70" s="74"/>
      <c r="C70" s="74"/>
      <c r="D70" s="81" t="s">
        <v>45</v>
      </c>
      <c r="E70" s="82"/>
      <c r="F70" s="83"/>
      <c r="G70"/>
    </row>
    <row r="71" spans="1:8" ht="26.25" x14ac:dyDescent="0.25">
      <c r="A71" s="71"/>
      <c r="B71" s="74"/>
      <c r="C71" s="74"/>
      <c r="D71" s="48" t="s">
        <v>46</v>
      </c>
      <c r="E71" s="24" t="s">
        <v>15</v>
      </c>
      <c r="F71" s="8">
        <v>13.75</v>
      </c>
      <c r="G71"/>
    </row>
    <row r="72" spans="1:8" x14ac:dyDescent="0.25">
      <c r="A72" s="71"/>
      <c r="B72" s="74"/>
      <c r="C72" s="74"/>
      <c r="D72" s="42" t="s">
        <v>16</v>
      </c>
      <c r="E72" s="16" t="s">
        <v>17</v>
      </c>
      <c r="F72" s="19">
        <f>4571400*0.17/44</f>
        <v>17662.227272727272</v>
      </c>
      <c r="G72"/>
    </row>
    <row r="73" spans="1:8" x14ac:dyDescent="0.25">
      <c r="A73" s="71"/>
      <c r="B73" s="74"/>
      <c r="C73" s="74"/>
      <c r="D73" s="43" t="s">
        <v>18</v>
      </c>
      <c r="E73" s="16" t="s">
        <v>17</v>
      </c>
      <c r="F73" s="19">
        <f>F72*30.2%</f>
        <v>5333.9926363636359</v>
      </c>
      <c r="G73"/>
    </row>
    <row r="74" spans="1:8" x14ac:dyDescent="0.25">
      <c r="A74" s="71"/>
      <c r="B74" s="74"/>
      <c r="C74" s="74"/>
      <c r="D74" s="81" t="s">
        <v>47</v>
      </c>
      <c r="E74" s="82"/>
      <c r="F74" s="83"/>
      <c r="G74"/>
    </row>
    <row r="75" spans="1:8" x14ac:dyDescent="0.25">
      <c r="A75" s="71"/>
      <c r="B75" s="74"/>
      <c r="C75" s="74"/>
      <c r="D75" s="49" t="s">
        <v>48</v>
      </c>
      <c r="E75" s="38" t="s">
        <v>17</v>
      </c>
      <c r="F75" s="39">
        <f>53332.28*0.33/44</f>
        <v>399.99209999999999</v>
      </c>
      <c r="G75"/>
    </row>
    <row r="76" spans="1:8" x14ac:dyDescent="0.25">
      <c r="A76" s="71"/>
      <c r="B76" s="74"/>
      <c r="C76" s="74"/>
      <c r="D76" s="49" t="s">
        <v>59</v>
      </c>
      <c r="E76" s="38" t="s">
        <v>17</v>
      </c>
      <c r="F76" s="39">
        <f>50000*0.33/44</f>
        <v>375</v>
      </c>
      <c r="G76"/>
    </row>
    <row r="77" spans="1:8" x14ac:dyDescent="0.25">
      <c r="A77" s="71"/>
      <c r="B77" s="74"/>
      <c r="C77" s="74"/>
      <c r="D77" s="49" t="s">
        <v>60</v>
      </c>
      <c r="E77" s="38" t="s">
        <v>17</v>
      </c>
      <c r="F77" s="39">
        <f>208677.15*0.33/44</f>
        <v>1565.0786249999999</v>
      </c>
      <c r="G77"/>
    </row>
    <row r="78" spans="1:8" ht="39" x14ac:dyDescent="0.25">
      <c r="A78" s="71"/>
      <c r="B78" s="74"/>
      <c r="C78" s="74"/>
      <c r="D78" s="49" t="s">
        <v>61</v>
      </c>
      <c r="E78" s="38" t="s">
        <v>17</v>
      </c>
      <c r="F78" s="39">
        <f>4000*0.33/44</f>
        <v>30</v>
      </c>
      <c r="G78"/>
    </row>
    <row r="79" spans="1:8" x14ac:dyDescent="0.25">
      <c r="A79" s="71"/>
      <c r="B79" s="74"/>
      <c r="C79" s="74"/>
      <c r="D79" s="49" t="s">
        <v>52</v>
      </c>
      <c r="E79" s="38" t="s">
        <v>53</v>
      </c>
      <c r="F79" s="19">
        <v>20</v>
      </c>
      <c r="G79"/>
    </row>
    <row r="80" spans="1:8" x14ac:dyDescent="0.25">
      <c r="A80" s="71"/>
      <c r="B80" s="74"/>
      <c r="C80" s="74"/>
      <c r="D80" s="49" t="s">
        <v>62</v>
      </c>
      <c r="E80" s="40" t="s">
        <v>17</v>
      </c>
      <c r="F80" s="39">
        <f>101000*0.33/44</f>
        <v>757.5</v>
      </c>
      <c r="G80"/>
    </row>
    <row r="81" spans="1:26" x14ac:dyDescent="0.25">
      <c r="A81" s="72"/>
      <c r="B81" s="75"/>
      <c r="C81" s="75"/>
      <c r="D81" s="49" t="s">
        <v>35</v>
      </c>
      <c r="E81" s="40" t="s">
        <v>17</v>
      </c>
      <c r="F81" s="39">
        <f>59600*0.23/44</f>
        <v>311.54545454545456</v>
      </c>
      <c r="G81"/>
    </row>
    <row r="82" spans="1:26" s="50" customFormat="1" ht="22.5" customHeight="1" x14ac:dyDescent="0.25">
      <c r="A82" s="70" t="s">
        <v>63</v>
      </c>
      <c r="B82" s="73" t="s">
        <v>64</v>
      </c>
      <c r="C82" s="73" t="s">
        <v>11</v>
      </c>
      <c r="D82" s="81" t="s">
        <v>12</v>
      </c>
      <c r="E82" s="82"/>
      <c r="F82" s="83"/>
      <c r="G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</row>
    <row r="83" spans="1:26" s="50" customFormat="1" x14ac:dyDescent="0.25">
      <c r="A83" s="71"/>
      <c r="B83" s="74"/>
      <c r="C83" s="74"/>
      <c r="D83" s="80" t="s">
        <v>13</v>
      </c>
      <c r="E83" s="80"/>
      <c r="F83" s="80"/>
      <c r="G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</row>
    <row r="84" spans="1:26" s="50" customFormat="1" x14ac:dyDescent="0.25">
      <c r="A84" s="71"/>
      <c r="B84" s="74"/>
      <c r="C84" s="74"/>
      <c r="D84" s="41" t="s">
        <v>14</v>
      </c>
      <c r="E84" s="40" t="s">
        <v>15</v>
      </c>
      <c r="F84" s="17">
        <f>F48</f>
        <v>35.28</v>
      </c>
      <c r="G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</row>
    <row r="85" spans="1:26" s="50" customFormat="1" x14ac:dyDescent="0.25">
      <c r="A85" s="71"/>
      <c r="B85" s="74"/>
      <c r="C85" s="74"/>
      <c r="D85" s="42" t="s">
        <v>16</v>
      </c>
      <c r="E85" s="16" t="s">
        <v>17</v>
      </c>
      <c r="F85" s="17">
        <f>13682700*0.35/73</f>
        <v>65601.986301369863</v>
      </c>
      <c r="G85" s="6"/>
      <c r="H85" s="60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</row>
    <row r="86" spans="1:26" s="50" customFormat="1" x14ac:dyDescent="0.25">
      <c r="A86" s="71"/>
      <c r="B86" s="74"/>
      <c r="C86" s="74"/>
      <c r="D86" s="43" t="s">
        <v>18</v>
      </c>
      <c r="E86" s="16" t="s">
        <v>17</v>
      </c>
      <c r="F86" s="19">
        <f>F85*30.2%</f>
        <v>19811.799863013697</v>
      </c>
      <c r="G86"/>
      <c r="H86" s="60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</row>
    <row r="87" spans="1:26" s="50" customFormat="1" ht="15" customHeight="1" x14ac:dyDescent="0.25">
      <c r="A87" s="71"/>
      <c r="B87" s="74"/>
      <c r="C87" s="74"/>
      <c r="D87" s="81" t="s">
        <v>19</v>
      </c>
      <c r="E87" s="82"/>
      <c r="F87" s="83"/>
      <c r="G87"/>
      <c r="H87" s="60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</row>
    <row r="88" spans="1:26" s="50" customFormat="1" x14ac:dyDescent="0.25">
      <c r="A88" s="71"/>
      <c r="B88" s="74"/>
      <c r="C88" s="74"/>
      <c r="D88" s="80" t="s">
        <v>20</v>
      </c>
      <c r="E88" s="80"/>
      <c r="F88" s="80"/>
      <c r="G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</row>
    <row r="89" spans="1:26" s="50" customFormat="1" x14ac:dyDescent="0.25">
      <c r="A89" s="71"/>
      <c r="B89" s="74"/>
      <c r="C89" s="74"/>
      <c r="D89" s="44" t="s">
        <v>21</v>
      </c>
      <c r="E89" s="21" t="s">
        <v>22</v>
      </c>
      <c r="F89" s="62">
        <f>600000*0.28/73</f>
        <v>2301.3698630136992</v>
      </c>
      <c r="G89" s="6"/>
      <c r="H89" s="60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</row>
    <row r="90" spans="1:26" s="50" customFormat="1" x14ac:dyDescent="0.25">
      <c r="A90" s="71"/>
      <c r="B90" s="74"/>
      <c r="C90" s="74"/>
      <c r="D90" s="44" t="s">
        <v>24</v>
      </c>
      <c r="E90" s="21" t="s">
        <v>25</v>
      </c>
      <c r="F90" s="62">
        <f>1800000*0.28/73</f>
        <v>6904.109589041097</v>
      </c>
      <c r="G90"/>
      <c r="H90" s="6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</row>
    <row r="91" spans="1:26" s="50" customFormat="1" ht="15.75" x14ac:dyDescent="0.25">
      <c r="A91" s="71"/>
      <c r="B91" s="74"/>
      <c r="C91" s="74"/>
      <c r="D91" s="44" t="s">
        <v>26</v>
      </c>
      <c r="E91" s="21" t="s">
        <v>27</v>
      </c>
      <c r="F91" s="62">
        <f>44000*0.28/73</f>
        <v>168.76712328767127</v>
      </c>
      <c r="G91"/>
      <c r="H91" s="60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</row>
    <row r="92" spans="1:26" s="50" customFormat="1" x14ac:dyDescent="0.25">
      <c r="A92" s="71"/>
      <c r="B92" s="74"/>
      <c r="C92" s="74"/>
      <c r="D92" s="45" t="s">
        <v>57</v>
      </c>
      <c r="E92" s="21" t="s">
        <v>30</v>
      </c>
      <c r="F92" s="63">
        <f>0.28*150000/73</f>
        <v>575.34246575342479</v>
      </c>
      <c r="G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</row>
    <row r="93" spans="1:26" s="50" customFormat="1" ht="29.25" customHeight="1" x14ac:dyDescent="0.25">
      <c r="A93" s="71"/>
      <c r="B93" s="74"/>
      <c r="C93" s="74"/>
      <c r="D93" s="81" t="s">
        <v>28</v>
      </c>
      <c r="E93" s="82"/>
      <c r="F93" s="83"/>
      <c r="G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</row>
    <row r="94" spans="1:26" s="50" customFormat="1" x14ac:dyDescent="0.25">
      <c r="A94" s="71"/>
      <c r="B94" s="74"/>
      <c r="C94" s="74"/>
      <c r="D94" s="26" t="s">
        <v>29</v>
      </c>
      <c r="E94" s="24" t="s">
        <v>30</v>
      </c>
      <c r="F94" s="25">
        <f>4878.34*0.37/73</f>
        <v>24.725832876712328</v>
      </c>
      <c r="G94" s="6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</row>
    <row r="95" spans="1:26" s="50" customFormat="1" x14ac:dyDescent="0.25">
      <c r="A95" s="71"/>
      <c r="B95" s="74"/>
      <c r="C95" s="74"/>
      <c r="D95" s="26" t="s">
        <v>31</v>
      </c>
      <c r="E95" s="24" t="s">
        <v>30</v>
      </c>
      <c r="F95" s="25">
        <f>(42321.66+200)*0.37/73</f>
        <v>215.52074246575344</v>
      </c>
      <c r="G95" s="6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</row>
    <row r="96" spans="1:26" s="50" customFormat="1" x14ac:dyDescent="0.25">
      <c r="A96" s="71"/>
      <c r="B96" s="74"/>
      <c r="C96" s="74"/>
      <c r="D96" s="26" t="s">
        <v>58</v>
      </c>
      <c r="E96" s="7" t="s">
        <v>30</v>
      </c>
      <c r="F96" s="8">
        <f>0.61*(21600+6800)/73</f>
        <v>237.31506849315068</v>
      </c>
      <c r="G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</row>
    <row r="97" spans="1:26" s="50" customFormat="1" x14ac:dyDescent="0.25">
      <c r="A97" s="71"/>
      <c r="B97" s="74"/>
      <c r="C97" s="74"/>
      <c r="D97" s="26" t="s">
        <v>33</v>
      </c>
      <c r="E97" s="24" t="s">
        <v>30</v>
      </c>
      <c r="F97" s="17">
        <f>32000*0.61/73</f>
        <v>267.39726027397262</v>
      </c>
      <c r="G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</row>
    <row r="98" spans="1:26" s="50" customFormat="1" ht="39" x14ac:dyDescent="0.25">
      <c r="A98" s="71"/>
      <c r="B98" s="74"/>
      <c r="C98" s="74"/>
      <c r="D98" s="29" t="s">
        <v>34</v>
      </c>
      <c r="E98" s="24" t="s">
        <v>30</v>
      </c>
      <c r="F98" s="17">
        <f>24000*0.61/73</f>
        <v>200.54794520547946</v>
      </c>
      <c r="G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</row>
    <row r="99" spans="1:26" s="50" customFormat="1" x14ac:dyDescent="0.25">
      <c r="A99" s="71"/>
      <c r="B99" s="74"/>
      <c r="C99" s="74"/>
      <c r="D99" s="26" t="s">
        <v>35</v>
      </c>
      <c r="E99" s="24" t="s">
        <v>30</v>
      </c>
      <c r="F99" s="17">
        <f>120000*0.61/73</f>
        <v>1002.7397260273973</v>
      </c>
      <c r="G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</row>
    <row r="100" spans="1:26" s="50" customFormat="1" x14ac:dyDescent="0.25">
      <c r="A100" s="71"/>
      <c r="B100" s="74"/>
      <c r="C100" s="74"/>
      <c r="D100" s="26" t="s">
        <v>36</v>
      </c>
      <c r="E100" s="24" t="s">
        <v>30</v>
      </c>
      <c r="F100" s="17">
        <f>28000*0.61/73</f>
        <v>233.97260273972603</v>
      </c>
      <c r="G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</row>
    <row r="101" spans="1:26" s="50" customFormat="1" x14ac:dyDescent="0.25">
      <c r="A101" s="71"/>
      <c r="B101" s="74"/>
      <c r="C101" s="74"/>
      <c r="D101" s="29" t="s">
        <v>51</v>
      </c>
      <c r="E101" s="24" t="s">
        <v>30</v>
      </c>
      <c r="F101" s="17">
        <f>50000*0.61/73</f>
        <v>417.8082191780822</v>
      </c>
      <c r="G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</row>
    <row r="102" spans="1:26" s="50" customFormat="1" ht="29.25" customHeight="1" x14ac:dyDescent="0.25">
      <c r="A102" s="71"/>
      <c r="B102" s="74"/>
      <c r="C102" s="74"/>
      <c r="D102" s="84" t="s">
        <v>39</v>
      </c>
      <c r="E102" s="85"/>
      <c r="F102" s="86"/>
      <c r="G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</row>
    <row r="103" spans="1:26" s="50" customFormat="1" x14ac:dyDescent="0.25">
      <c r="A103" s="71"/>
      <c r="B103" s="74"/>
      <c r="C103" s="74"/>
      <c r="D103" s="26" t="s">
        <v>40</v>
      </c>
      <c r="E103" s="46" t="s">
        <v>41</v>
      </c>
      <c r="F103" s="8">
        <v>6</v>
      </c>
      <c r="G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</row>
    <row r="104" spans="1:26" s="50" customFormat="1" x14ac:dyDescent="0.25">
      <c r="A104" s="71"/>
      <c r="B104" s="74"/>
      <c r="C104" s="74"/>
      <c r="D104" s="81" t="s">
        <v>42</v>
      </c>
      <c r="E104" s="82"/>
      <c r="F104" s="83"/>
      <c r="G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</row>
    <row r="105" spans="1:26" s="50" customFormat="1" x14ac:dyDescent="0.25">
      <c r="A105" s="71"/>
      <c r="B105" s="74"/>
      <c r="C105" s="74"/>
      <c r="D105" s="47" t="s">
        <v>43</v>
      </c>
      <c r="E105" s="33" t="s">
        <v>30</v>
      </c>
      <c r="F105" s="8">
        <f>0.61*95500/73</f>
        <v>798.01369863013701</v>
      </c>
      <c r="G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</row>
    <row r="106" spans="1:26" s="50" customFormat="1" ht="30" customHeight="1" x14ac:dyDescent="0.25">
      <c r="A106" s="71"/>
      <c r="B106" s="74"/>
      <c r="C106" s="74"/>
      <c r="D106" s="81" t="s">
        <v>45</v>
      </c>
      <c r="E106" s="82"/>
      <c r="F106" s="83"/>
      <c r="G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</row>
    <row r="107" spans="1:26" s="50" customFormat="1" ht="26.25" x14ac:dyDescent="0.25">
      <c r="A107" s="71"/>
      <c r="B107" s="74"/>
      <c r="C107" s="74"/>
      <c r="D107" s="48" t="s">
        <v>46</v>
      </c>
      <c r="E107" s="24" t="s">
        <v>15</v>
      </c>
      <c r="F107" s="8">
        <f>F71</f>
        <v>13.75</v>
      </c>
      <c r="G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</row>
    <row r="108" spans="1:26" s="50" customFormat="1" x14ac:dyDescent="0.25">
      <c r="A108" s="71"/>
      <c r="B108" s="74"/>
      <c r="C108" s="74"/>
      <c r="D108" s="42" t="s">
        <v>16</v>
      </c>
      <c r="E108" s="16" t="s">
        <v>17</v>
      </c>
      <c r="F108" s="19">
        <f>4571400*0.28/73</f>
        <v>17534.136986301372</v>
      </c>
      <c r="G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</row>
    <row r="109" spans="1:26" s="50" customFormat="1" x14ac:dyDescent="0.25">
      <c r="A109" s="71"/>
      <c r="B109" s="74"/>
      <c r="C109" s="74"/>
      <c r="D109" s="43" t="s">
        <v>18</v>
      </c>
      <c r="E109" s="16" t="s">
        <v>17</v>
      </c>
      <c r="F109" s="19">
        <f>F108*30.2%</f>
        <v>5295.3093698630137</v>
      </c>
      <c r="G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</row>
    <row r="110" spans="1:26" s="50" customFormat="1" x14ac:dyDescent="0.25">
      <c r="A110" s="71"/>
      <c r="B110" s="74"/>
      <c r="C110" s="74"/>
      <c r="D110" s="81" t="s">
        <v>47</v>
      </c>
      <c r="E110" s="82"/>
      <c r="F110" s="83"/>
      <c r="G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</row>
    <row r="111" spans="1:26" s="50" customFormat="1" x14ac:dyDescent="0.25">
      <c r="A111" s="71"/>
      <c r="B111" s="74"/>
      <c r="C111" s="74"/>
      <c r="D111" s="49" t="s">
        <v>48</v>
      </c>
      <c r="E111" s="38" t="s">
        <v>17</v>
      </c>
      <c r="F111" s="39">
        <f>53332.28*0.61/73</f>
        <v>445.65329863013699</v>
      </c>
      <c r="G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</row>
    <row r="112" spans="1:26" s="50" customFormat="1" x14ac:dyDescent="0.25">
      <c r="A112" s="71"/>
      <c r="B112" s="74"/>
      <c r="C112" s="74"/>
      <c r="D112" s="49" t="s">
        <v>59</v>
      </c>
      <c r="E112" s="38" t="s">
        <v>17</v>
      </c>
      <c r="F112" s="39">
        <f>50000*0.61/73</f>
        <v>417.8082191780822</v>
      </c>
      <c r="G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</row>
    <row r="113" spans="1:26" s="50" customFormat="1" x14ac:dyDescent="0.25">
      <c r="A113" s="71"/>
      <c r="B113" s="74"/>
      <c r="C113" s="74"/>
      <c r="D113" s="49" t="s">
        <v>60</v>
      </c>
      <c r="E113" s="38" t="s">
        <v>17</v>
      </c>
      <c r="F113" s="39">
        <f>208677.15*0.61/73</f>
        <v>1743.7405684931507</v>
      </c>
      <c r="G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</row>
    <row r="114" spans="1:26" s="50" customFormat="1" ht="39" x14ac:dyDescent="0.25">
      <c r="A114" s="71"/>
      <c r="B114" s="74"/>
      <c r="C114" s="74"/>
      <c r="D114" s="49" t="s">
        <v>61</v>
      </c>
      <c r="E114" s="38" t="s">
        <v>17</v>
      </c>
      <c r="F114" s="39">
        <f>4000*0.61/73</f>
        <v>33.424657534246577</v>
      </c>
      <c r="G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</row>
    <row r="115" spans="1:26" s="50" customFormat="1" x14ac:dyDescent="0.25">
      <c r="A115" s="71"/>
      <c r="B115" s="74"/>
      <c r="C115" s="74"/>
      <c r="D115" s="49" t="s">
        <v>52</v>
      </c>
      <c r="E115" s="38" t="s">
        <v>53</v>
      </c>
      <c r="F115" s="19">
        <v>20</v>
      </c>
      <c r="G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</row>
    <row r="116" spans="1:26" s="50" customFormat="1" x14ac:dyDescent="0.25">
      <c r="A116" s="71"/>
      <c r="B116" s="74"/>
      <c r="C116" s="74"/>
      <c r="D116" s="49" t="s">
        <v>62</v>
      </c>
      <c r="E116" s="40" t="s">
        <v>17</v>
      </c>
      <c r="F116" s="39">
        <f>101000*0.61/73</f>
        <v>843.97260273972597</v>
      </c>
      <c r="G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</row>
    <row r="117" spans="1:26" s="50" customFormat="1" x14ac:dyDescent="0.25">
      <c r="A117" s="72"/>
      <c r="B117" s="75"/>
      <c r="C117" s="75"/>
      <c r="D117" s="49" t="s">
        <v>35</v>
      </c>
      <c r="E117" s="40" t="s">
        <v>17</v>
      </c>
      <c r="F117" s="39">
        <f>59600*0.37/73</f>
        <v>302.08219178082192</v>
      </c>
      <c r="G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</row>
    <row r="118" spans="1:26" s="50" customFormat="1" ht="21" customHeight="1" x14ac:dyDescent="0.25">
      <c r="A118" s="70" t="s">
        <v>65</v>
      </c>
      <c r="B118" s="73" t="s">
        <v>66</v>
      </c>
      <c r="C118" s="73" t="s">
        <v>11</v>
      </c>
      <c r="D118" s="84" t="s">
        <v>12</v>
      </c>
      <c r="E118" s="85"/>
      <c r="F118" s="86"/>
      <c r="G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</row>
    <row r="119" spans="1:26" s="50" customFormat="1" x14ac:dyDescent="0.25">
      <c r="A119" s="71"/>
      <c r="B119" s="74"/>
      <c r="C119" s="74"/>
      <c r="D119" s="87" t="s">
        <v>13</v>
      </c>
      <c r="E119" s="87"/>
      <c r="F119" s="87"/>
      <c r="G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</row>
    <row r="120" spans="1:26" s="50" customFormat="1" x14ac:dyDescent="0.25">
      <c r="A120" s="71"/>
      <c r="B120" s="74"/>
      <c r="C120" s="74"/>
      <c r="D120" s="41" t="s">
        <v>14</v>
      </c>
      <c r="E120" s="40" t="s">
        <v>15</v>
      </c>
      <c r="F120" s="17">
        <f>F84</f>
        <v>35.28</v>
      </c>
      <c r="G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</row>
    <row r="121" spans="1:26" s="50" customFormat="1" x14ac:dyDescent="0.25">
      <c r="A121" s="71"/>
      <c r="B121" s="74"/>
      <c r="C121" s="74"/>
      <c r="D121" s="42" t="s">
        <v>16</v>
      </c>
      <c r="E121" s="16" t="s">
        <v>17</v>
      </c>
      <c r="F121" s="17">
        <f>13682700*0.03/8</f>
        <v>51310.125</v>
      </c>
      <c r="G121" s="6"/>
      <c r="H121" s="60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</row>
    <row r="122" spans="1:26" s="50" customFormat="1" x14ac:dyDescent="0.25">
      <c r="A122" s="71"/>
      <c r="B122" s="74"/>
      <c r="C122" s="74"/>
      <c r="D122" s="43" t="s">
        <v>18</v>
      </c>
      <c r="E122" s="16" t="s">
        <v>17</v>
      </c>
      <c r="F122" s="19">
        <f>F121*30.2%</f>
        <v>15495.65775</v>
      </c>
      <c r="G122"/>
      <c r="H122" s="60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</row>
    <row r="123" spans="1:26" s="50" customFormat="1" ht="15" customHeight="1" x14ac:dyDescent="0.25">
      <c r="A123" s="71"/>
      <c r="B123" s="74"/>
      <c r="C123" s="74"/>
      <c r="D123" s="81" t="s">
        <v>19</v>
      </c>
      <c r="E123" s="82"/>
      <c r="F123" s="83"/>
      <c r="G123"/>
      <c r="H123" s="60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</row>
    <row r="124" spans="1:26" s="50" customFormat="1" x14ac:dyDescent="0.25">
      <c r="A124" s="71"/>
      <c r="B124" s="74"/>
      <c r="C124" s="74"/>
      <c r="D124" s="80" t="s">
        <v>20</v>
      </c>
      <c r="E124" s="80"/>
      <c r="F124" s="80"/>
      <c r="G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</row>
    <row r="125" spans="1:26" s="50" customFormat="1" x14ac:dyDescent="0.25">
      <c r="A125" s="71"/>
      <c r="B125" s="74"/>
      <c r="C125" s="74"/>
      <c r="D125" s="44" t="s">
        <v>21</v>
      </c>
      <c r="E125" s="21" t="s">
        <v>22</v>
      </c>
      <c r="F125" s="62">
        <f>600000*0.03/8</f>
        <v>2250</v>
      </c>
      <c r="G125" s="6"/>
      <c r="H125" s="60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</row>
    <row r="126" spans="1:26" s="50" customFormat="1" x14ac:dyDescent="0.25">
      <c r="A126" s="71"/>
      <c r="B126" s="74"/>
      <c r="C126" s="74"/>
      <c r="D126" s="44" t="s">
        <v>24</v>
      </c>
      <c r="E126" s="21" t="s">
        <v>25</v>
      </c>
      <c r="F126" s="62">
        <f>1800000*0.03/8</f>
        <v>6750</v>
      </c>
      <c r="G126"/>
      <c r="H126" s="60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</row>
    <row r="127" spans="1:26" s="50" customFormat="1" ht="15.75" x14ac:dyDescent="0.25">
      <c r="A127" s="71"/>
      <c r="B127" s="74"/>
      <c r="C127" s="74"/>
      <c r="D127" s="44" t="s">
        <v>26</v>
      </c>
      <c r="E127" s="21" t="s">
        <v>27</v>
      </c>
      <c r="F127" s="62">
        <f>44000*0.03/8</f>
        <v>165</v>
      </c>
      <c r="G127"/>
      <c r="H127" s="60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</row>
    <row r="128" spans="1:26" s="50" customFormat="1" x14ac:dyDescent="0.25">
      <c r="A128" s="71"/>
      <c r="B128" s="74"/>
      <c r="C128" s="74"/>
      <c r="D128" s="45" t="s">
        <v>57</v>
      </c>
      <c r="E128" s="21" t="s">
        <v>30</v>
      </c>
      <c r="F128" s="63">
        <f>0.03*150000/8</f>
        <v>562.5</v>
      </c>
      <c r="G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</row>
    <row r="129" spans="1:26" s="50" customFormat="1" ht="28.5" customHeight="1" x14ac:dyDescent="0.25">
      <c r="A129" s="71"/>
      <c r="B129" s="74"/>
      <c r="C129" s="74"/>
      <c r="D129" s="81" t="s">
        <v>28</v>
      </c>
      <c r="E129" s="82"/>
      <c r="F129" s="83"/>
      <c r="G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</row>
    <row r="130" spans="1:26" s="50" customFormat="1" x14ac:dyDescent="0.25">
      <c r="A130" s="71"/>
      <c r="B130" s="74"/>
      <c r="C130" s="74"/>
      <c r="D130" s="26" t="s">
        <v>29</v>
      </c>
      <c r="E130" s="24" t="s">
        <v>30</v>
      </c>
      <c r="F130" s="25">
        <f>4878.34*0.04/8</f>
        <v>24.3917</v>
      </c>
      <c r="G130" s="6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</row>
    <row r="131" spans="1:26" s="50" customFormat="1" x14ac:dyDescent="0.25">
      <c r="A131" s="71"/>
      <c r="B131" s="74"/>
      <c r="C131" s="74"/>
      <c r="D131" s="26" t="s">
        <v>31</v>
      </c>
      <c r="E131" s="24" t="s">
        <v>30</v>
      </c>
      <c r="F131" s="25">
        <f>(42321.66+200)*0.04/8</f>
        <v>212.60830000000001</v>
      </c>
      <c r="G131" s="6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</row>
    <row r="132" spans="1:26" s="50" customFormat="1" x14ac:dyDescent="0.25">
      <c r="A132" s="71"/>
      <c r="B132" s="74"/>
      <c r="C132" s="74"/>
      <c r="D132" s="26" t="s">
        <v>58</v>
      </c>
      <c r="E132" s="7" t="s">
        <v>30</v>
      </c>
      <c r="F132" s="8">
        <f>0.06*(21600+6800)/8</f>
        <v>213</v>
      </c>
      <c r="G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</row>
    <row r="133" spans="1:26" s="50" customFormat="1" x14ac:dyDescent="0.25">
      <c r="A133" s="71"/>
      <c r="B133" s="74"/>
      <c r="C133" s="74"/>
      <c r="D133" s="26" t="s">
        <v>33</v>
      </c>
      <c r="E133" s="24" t="s">
        <v>30</v>
      </c>
      <c r="F133" s="17">
        <f>32000*0.06/8</f>
        <v>240</v>
      </c>
      <c r="G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</row>
    <row r="134" spans="1:26" s="50" customFormat="1" ht="39" x14ac:dyDescent="0.25">
      <c r="A134" s="71"/>
      <c r="B134" s="74"/>
      <c r="C134" s="74"/>
      <c r="D134" s="29" t="s">
        <v>34</v>
      </c>
      <c r="E134" s="24" t="s">
        <v>30</v>
      </c>
      <c r="F134" s="17">
        <f>24000*0.06/8</f>
        <v>180</v>
      </c>
      <c r="G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</row>
    <row r="135" spans="1:26" s="50" customFormat="1" x14ac:dyDescent="0.25">
      <c r="A135" s="71"/>
      <c r="B135" s="74"/>
      <c r="C135" s="74"/>
      <c r="D135" s="26" t="s">
        <v>35</v>
      </c>
      <c r="E135" s="24" t="s">
        <v>30</v>
      </c>
      <c r="F135" s="17">
        <f>120000*0.06/8</f>
        <v>900</v>
      </c>
      <c r="G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</row>
    <row r="136" spans="1:26" s="50" customFormat="1" x14ac:dyDescent="0.25">
      <c r="A136" s="71"/>
      <c r="B136" s="74"/>
      <c r="C136" s="74"/>
      <c r="D136" s="26" t="s">
        <v>36</v>
      </c>
      <c r="E136" s="24" t="s">
        <v>30</v>
      </c>
      <c r="F136" s="17">
        <f>28000*0.06/8</f>
        <v>210</v>
      </c>
      <c r="G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</row>
    <row r="137" spans="1:26" s="50" customFormat="1" x14ac:dyDescent="0.25">
      <c r="A137" s="71"/>
      <c r="B137" s="74"/>
      <c r="C137" s="74"/>
      <c r="D137" s="29" t="s">
        <v>51</v>
      </c>
      <c r="E137" s="24" t="s">
        <v>30</v>
      </c>
      <c r="F137" s="17">
        <f>50000*0.06/8</f>
        <v>375</v>
      </c>
      <c r="G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</row>
    <row r="138" spans="1:26" s="50" customFormat="1" ht="28.5" customHeight="1" x14ac:dyDescent="0.25">
      <c r="A138" s="71"/>
      <c r="B138" s="74"/>
      <c r="C138" s="74"/>
      <c r="D138" s="84" t="s">
        <v>39</v>
      </c>
      <c r="E138" s="85"/>
      <c r="F138" s="86"/>
      <c r="G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</row>
    <row r="139" spans="1:26" s="50" customFormat="1" x14ac:dyDescent="0.25">
      <c r="A139" s="71"/>
      <c r="B139" s="74"/>
      <c r="C139" s="74"/>
      <c r="D139" s="7" t="s">
        <v>40</v>
      </c>
      <c r="E139" s="46" t="s">
        <v>41</v>
      </c>
      <c r="F139" s="8">
        <v>6</v>
      </c>
      <c r="G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</row>
    <row r="140" spans="1:26" s="50" customFormat="1" x14ac:dyDescent="0.25">
      <c r="A140" s="71"/>
      <c r="B140" s="74"/>
      <c r="C140" s="74"/>
      <c r="D140" s="81" t="s">
        <v>42</v>
      </c>
      <c r="E140" s="82"/>
      <c r="F140" s="83"/>
      <c r="G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</row>
    <row r="141" spans="1:26" s="50" customFormat="1" x14ac:dyDescent="0.25">
      <c r="A141" s="71"/>
      <c r="B141" s="74"/>
      <c r="C141" s="74"/>
      <c r="D141" s="47" t="s">
        <v>43</v>
      </c>
      <c r="E141" s="33" t="s">
        <v>30</v>
      </c>
      <c r="F141" s="8">
        <f>0.06*95500/8</f>
        <v>716.25</v>
      </c>
      <c r="G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</row>
    <row r="142" spans="1:26" s="50" customFormat="1" ht="31.5" customHeight="1" x14ac:dyDescent="0.25">
      <c r="A142" s="71"/>
      <c r="B142" s="74"/>
      <c r="C142" s="74"/>
      <c r="D142" s="87" t="s">
        <v>45</v>
      </c>
      <c r="E142" s="87"/>
      <c r="F142" s="87"/>
      <c r="G142"/>
      <c r="H142" s="60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</row>
    <row r="143" spans="1:26" s="50" customFormat="1" ht="26.25" x14ac:dyDescent="0.25">
      <c r="A143" s="71"/>
      <c r="B143" s="74"/>
      <c r="C143" s="74"/>
      <c r="D143" s="48" t="s">
        <v>46</v>
      </c>
      <c r="E143" s="24" t="s">
        <v>15</v>
      </c>
      <c r="F143" s="8">
        <v>13.75</v>
      </c>
      <c r="G143"/>
      <c r="H143" s="60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</row>
    <row r="144" spans="1:26" s="50" customFormat="1" x14ac:dyDescent="0.25">
      <c r="A144" s="71"/>
      <c r="B144" s="74"/>
      <c r="C144" s="74"/>
      <c r="D144" s="42" t="s">
        <v>16</v>
      </c>
      <c r="E144" s="16" t="s">
        <v>17</v>
      </c>
      <c r="F144" s="19">
        <f>4571400*0.03/8</f>
        <v>17142.75</v>
      </c>
      <c r="G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</row>
    <row r="145" spans="1:26" s="50" customFormat="1" x14ac:dyDescent="0.25">
      <c r="A145" s="71"/>
      <c r="B145" s="74"/>
      <c r="C145" s="74"/>
      <c r="D145" s="43" t="s">
        <v>18</v>
      </c>
      <c r="E145" s="16" t="s">
        <v>17</v>
      </c>
      <c r="F145" s="19">
        <f>F144*30.2%</f>
        <v>5177.1104999999998</v>
      </c>
      <c r="G145"/>
      <c r="H145" s="60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</row>
    <row r="146" spans="1:26" s="50" customFormat="1" x14ac:dyDescent="0.25">
      <c r="A146" s="71"/>
      <c r="B146" s="74"/>
      <c r="C146" s="74"/>
      <c r="D146" s="81" t="s">
        <v>47</v>
      </c>
      <c r="E146" s="82"/>
      <c r="F146" s="83"/>
      <c r="G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</row>
    <row r="147" spans="1:26" s="50" customFormat="1" x14ac:dyDescent="0.25">
      <c r="A147" s="71"/>
      <c r="B147" s="74"/>
      <c r="C147" s="74"/>
      <c r="D147" s="49" t="s">
        <v>48</v>
      </c>
      <c r="E147" s="38" t="s">
        <v>17</v>
      </c>
      <c r="F147" s="39">
        <f>53332.28*0.06/8</f>
        <v>399.99209999999999</v>
      </c>
      <c r="G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</row>
    <row r="148" spans="1:26" s="50" customFormat="1" x14ac:dyDescent="0.25">
      <c r="A148" s="71"/>
      <c r="B148" s="74"/>
      <c r="C148" s="74"/>
      <c r="D148" s="49" t="s">
        <v>59</v>
      </c>
      <c r="E148" s="38" t="s">
        <v>17</v>
      </c>
      <c r="F148" s="39">
        <f>50000*0.06/8</f>
        <v>375</v>
      </c>
      <c r="G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</row>
    <row r="149" spans="1:26" s="50" customFormat="1" ht="17.25" customHeight="1" x14ac:dyDescent="0.25">
      <c r="A149" s="71"/>
      <c r="B149" s="74"/>
      <c r="C149" s="74"/>
      <c r="D149" s="49" t="s">
        <v>60</v>
      </c>
      <c r="E149" s="38" t="s">
        <v>17</v>
      </c>
      <c r="F149" s="39">
        <f>208677.15*0.06/8</f>
        <v>1565.0786249999999</v>
      </c>
      <c r="G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</row>
    <row r="150" spans="1:26" s="50" customFormat="1" ht="39" x14ac:dyDescent="0.25">
      <c r="A150" s="71"/>
      <c r="B150" s="74"/>
      <c r="C150" s="74"/>
      <c r="D150" s="49" t="s">
        <v>61</v>
      </c>
      <c r="E150" s="38" t="s">
        <v>17</v>
      </c>
      <c r="F150" s="39">
        <f>4000*0.06/8</f>
        <v>30</v>
      </c>
      <c r="G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</row>
    <row r="151" spans="1:26" s="50" customFormat="1" x14ac:dyDescent="0.25">
      <c r="A151" s="71"/>
      <c r="B151" s="74"/>
      <c r="C151" s="74"/>
      <c r="D151" s="49" t="s">
        <v>52</v>
      </c>
      <c r="E151" s="38" t="s">
        <v>53</v>
      </c>
      <c r="F151" s="19">
        <v>20</v>
      </c>
      <c r="G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</row>
    <row r="152" spans="1:26" s="50" customFormat="1" x14ac:dyDescent="0.25">
      <c r="A152" s="71"/>
      <c r="B152" s="74"/>
      <c r="C152" s="74"/>
      <c r="D152" s="49" t="s">
        <v>62</v>
      </c>
      <c r="E152" s="40" t="s">
        <v>17</v>
      </c>
      <c r="F152" s="39">
        <f>101000*0.06/8</f>
        <v>757.5</v>
      </c>
      <c r="G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</row>
    <row r="153" spans="1:26" s="50" customFormat="1" x14ac:dyDescent="0.25">
      <c r="A153" s="72"/>
      <c r="B153" s="75"/>
      <c r="C153" s="75"/>
      <c r="D153" s="49" t="s">
        <v>35</v>
      </c>
      <c r="E153" s="40" t="s">
        <v>17</v>
      </c>
      <c r="F153" s="39">
        <f>59600*0.04/8</f>
        <v>298</v>
      </c>
      <c r="G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</row>
    <row r="154" spans="1:26" s="50" customFormat="1" ht="18" customHeight="1" x14ac:dyDescent="0.25">
      <c r="A154" s="70" t="s">
        <v>82</v>
      </c>
      <c r="B154" s="88" t="s">
        <v>67</v>
      </c>
      <c r="C154" s="73" t="s">
        <v>11</v>
      </c>
      <c r="D154" s="84" t="s">
        <v>12</v>
      </c>
      <c r="E154" s="85"/>
      <c r="F154" s="86"/>
      <c r="G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</row>
    <row r="155" spans="1:26" s="50" customFormat="1" x14ac:dyDescent="0.25">
      <c r="A155" s="71"/>
      <c r="B155" s="89"/>
      <c r="C155" s="74"/>
      <c r="D155" s="87" t="s">
        <v>13</v>
      </c>
      <c r="E155" s="87"/>
      <c r="F155" s="87"/>
      <c r="G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</row>
    <row r="156" spans="1:26" s="50" customFormat="1" x14ac:dyDescent="0.25">
      <c r="A156" s="71"/>
      <c r="B156" s="89"/>
      <c r="C156" s="74"/>
      <c r="D156" s="41" t="s">
        <v>14</v>
      </c>
      <c r="E156" s="40" t="s">
        <v>15</v>
      </c>
      <c r="F156" s="17" t="s">
        <v>23</v>
      </c>
      <c r="G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</row>
    <row r="157" spans="1:26" s="50" customFormat="1" x14ac:dyDescent="0.25">
      <c r="A157" s="71"/>
      <c r="B157" s="89"/>
      <c r="C157" s="74"/>
      <c r="D157" s="42" t="s">
        <v>16</v>
      </c>
      <c r="E157" s="16" t="s">
        <v>17</v>
      </c>
      <c r="F157" s="17" t="s">
        <v>23</v>
      </c>
      <c r="G157" s="6"/>
      <c r="H157" s="60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</row>
    <row r="158" spans="1:26" s="50" customFormat="1" x14ac:dyDescent="0.25">
      <c r="A158" s="71"/>
      <c r="B158" s="89"/>
      <c r="C158" s="74"/>
      <c r="D158" s="43" t="s">
        <v>18</v>
      </c>
      <c r="E158" s="16" t="s">
        <v>17</v>
      </c>
      <c r="F158" s="17" t="s">
        <v>23</v>
      </c>
      <c r="G158"/>
      <c r="H158" s="60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</row>
    <row r="159" spans="1:26" s="50" customFormat="1" x14ac:dyDescent="0.25">
      <c r="A159" s="71"/>
      <c r="B159" s="89"/>
      <c r="C159" s="74"/>
      <c r="D159" s="81" t="s">
        <v>19</v>
      </c>
      <c r="E159" s="82"/>
      <c r="F159" s="83"/>
      <c r="G159"/>
      <c r="H159" s="60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</row>
    <row r="160" spans="1:26" s="50" customFormat="1" x14ac:dyDescent="0.25">
      <c r="A160" s="71"/>
      <c r="B160" s="89"/>
      <c r="C160" s="74"/>
      <c r="D160" s="81" t="s">
        <v>20</v>
      </c>
      <c r="E160" s="82"/>
      <c r="F160" s="83"/>
      <c r="G160"/>
      <c r="H160" s="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</row>
    <row r="161" spans="1:26" s="50" customFormat="1" x14ac:dyDescent="0.25">
      <c r="A161" s="71"/>
      <c r="B161" s="89"/>
      <c r="C161" s="74"/>
      <c r="D161" s="44" t="s">
        <v>21</v>
      </c>
      <c r="E161" s="21" t="s">
        <v>22</v>
      </c>
      <c r="F161" s="62">
        <f>600000*0.42/112</f>
        <v>2250</v>
      </c>
      <c r="G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</row>
    <row r="162" spans="1:26" s="50" customFormat="1" x14ac:dyDescent="0.25">
      <c r="A162" s="71"/>
      <c r="B162" s="89"/>
      <c r="C162" s="74"/>
      <c r="D162" s="44" t="s">
        <v>24</v>
      </c>
      <c r="E162" s="21" t="s">
        <v>25</v>
      </c>
      <c r="F162" s="62">
        <f>1800000*0.42/112</f>
        <v>6750</v>
      </c>
      <c r="G162" s="6"/>
      <c r="H162" s="60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</row>
    <row r="163" spans="1:26" s="50" customFormat="1" ht="15.75" x14ac:dyDescent="0.25">
      <c r="A163" s="71"/>
      <c r="B163" s="89"/>
      <c r="C163" s="74"/>
      <c r="D163" s="44" t="s">
        <v>26</v>
      </c>
      <c r="E163" s="21" t="s">
        <v>27</v>
      </c>
      <c r="F163" s="62">
        <f>44000*0.42/112</f>
        <v>165</v>
      </c>
      <c r="G163"/>
      <c r="H163" s="60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</row>
    <row r="164" spans="1:26" s="50" customFormat="1" x14ac:dyDescent="0.25">
      <c r="A164" s="71"/>
      <c r="B164" s="89"/>
      <c r="C164" s="74"/>
      <c r="D164" s="45" t="s">
        <v>57</v>
      </c>
      <c r="E164" s="21" t="s">
        <v>30</v>
      </c>
      <c r="F164" s="63">
        <f>0.42*150000/112</f>
        <v>562.5</v>
      </c>
      <c r="G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</row>
    <row r="165" spans="1:26" s="50" customFormat="1" ht="31.5" customHeight="1" x14ac:dyDescent="0.25">
      <c r="A165" s="71"/>
      <c r="B165" s="89"/>
      <c r="C165" s="74"/>
      <c r="D165" s="84" t="s">
        <v>28</v>
      </c>
      <c r="E165" s="85"/>
      <c r="F165" s="86"/>
      <c r="G165"/>
      <c r="H165" s="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</row>
    <row r="166" spans="1:26" s="50" customFormat="1" x14ac:dyDescent="0.25">
      <c r="A166" s="71"/>
      <c r="B166" s="89"/>
      <c r="C166" s="74"/>
      <c r="D166" s="26" t="s">
        <v>29</v>
      </c>
      <c r="E166" s="24" t="s">
        <v>30</v>
      </c>
      <c r="F166" s="25">
        <f>4878.34*0.1/112</f>
        <v>4.3556607142857144</v>
      </c>
      <c r="G166" s="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</row>
    <row r="167" spans="1:26" s="50" customFormat="1" x14ac:dyDescent="0.25">
      <c r="A167" s="71"/>
      <c r="B167" s="89"/>
      <c r="C167" s="74"/>
      <c r="D167" s="26" t="s">
        <v>31</v>
      </c>
      <c r="E167" s="24" t="s">
        <v>30</v>
      </c>
      <c r="F167" s="25">
        <f>(42321.66+200)*0.1/112</f>
        <v>37.965767857142858</v>
      </c>
      <c r="G167" s="6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</row>
    <row r="168" spans="1:26" s="50" customFormat="1" x14ac:dyDescent="0.25">
      <c r="A168" s="71"/>
      <c r="B168" s="89"/>
      <c r="C168" s="74"/>
      <c r="D168" s="26" t="s">
        <v>68</v>
      </c>
      <c r="E168" s="7" t="s">
        <v>69</v>
      </c>
      <c r="F168" s="8"/>
      <c r="G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</row>
    <row r="169" spans="1:26" s="50" customFormat="1" x14ac:dyDescent="0.25">
      <c r="A169" s="71"/>
      <c r="B169" s="89"/>
      <c r="C169" s="74"/>
      <c r="D169" s="26" t="s">
        <v>33</v>
      </c>
      <c r="E169" s="24" t="s">
        <v>30</v>
      </c>
      <c r="F169" s="17" t="s">
        <v>23</v>
      </c>
      <c r="G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</row>
    <row r="170" spans="1:26" s="50" customFormat="1" ht="39" x14ac:dyDescent="0.25">
      <c r="A170" s="71"/>
      <c r="B170" s="89"/>
      <c r="C170" s="74"/>
      <c r="D170" s="29" t="s">
        <v>34</v>
      </c>
      <c r="E170" s="24" t="s">
        <v>30</v>
      </c>
      <c r="F170" s="17" t="s">
        <v>23</v>
      </c>
      <c r="G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</row>
    <row r="171" spans="1:26" s="50" customFormat="1" x14ac:dyDescent="0.25">
      <c r="A171" s="71"/>
      <c r="B171" s="89"/>
      <c r="C171" s="74"/>
      <c r="D171" s="26" t="s">
        <v>35</v>
      </c>
      <c r="E171" s="24" t="s">
        <v>30</v>
      </c>
      <c r="F171" s="17" t="s">
        <v>23</v>
      </c>
      <c r="G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</row>
    <row r="172" spans="1:26" s="50" customFormat="1" x14ac:dyDescent="0.25">
      <c r="A172" s="71"/>
      <c r="B172" s="89"/>
      <c r="C172" s="74"/>
      <c r="D172" s="26" t="s">
        <v>36</v>
      </c>
      <c r="E172" s="24" t="s">
        <v>30</v>
      </c>
      <c r="F172" s="17" t="s">
        <v>23</v>
      </c>
      <c r="G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</row>
    <row r="173" spans="1:26" s="50" customFormat="1" ht="26.25" x14ac:dyDescent="0.25">
      <c r="A173" s="71"/>
      <c r="B173" s="89"/>
      <c r="C173" s="74"/>
      <c r="D173" s="29" t="s">
        <v>38</v>
      </c>
      <c r="E173" s="24" t="s">
        <v>30</v>
      </c>
      <c r="F173" s="17" t="s">
        <v>23</v>
      </c>
      <c r="G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</row>
    <row r="174" spans="1:26" s="50" customFormat="1" ht="31.5" customHeight="1" x14ac:dyDescent="0.25">
      <c r="A174" s="71"/>
      <c r="B174" s="89"/>
      <c r="C174" s="74"/>
      <c r="D174" s="81" t="s">
        <v>39</v>
      </c>
      <c r="E174" s="82"/>
      <c r="F174" s="83"/>
      <c r="G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</row>
    <row r="175" spans="1:26" s="50" customFormat="1" x14ac:dyDescent="0.25">
      <c r="A175" s="71"/>
      <c r="B175" s="89"/>
      <c r="C175" s="74"/>
      <c r="D175" s="26" t="s">
        <v>40</v>
      </c>
      <c r="E175" s="52" t="s">
        <v>41</v>
      </c>
      <c r="F175" s="8" t="s">
        <v>23</v>
      </c>
      <c r="G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</row>
    <row r="176" spans="1:26" s="50" customFormat="1" x14ac:dyDescent="0.25">
      <c r="A176" s="71"/>
      <c r="B176" s="89"/>
      <c r="C176" s="74"/>
      <c r="D176" s="81" t="s">
        <v>42</v>
      </c>
      <c r="E176" s="82"/>
      <c r="F176" s="83"/>
      <c r="G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</row>
    <row r="177" spans="1:26" s="50" customFormat="1" x14ac:dyDescent="0.25">
      <c r="A177" s="71"/>
      <c r="B177" s="89"/>
      <c r="C177" s="74"/>
      <c r="D177" s="47" t="s">
        <v>43</v>
      </c>
      <c r="E177" s="53" t="s">
        <v>44</v>
      </c>
      <c r="F177" s="8" t="s">
        <v>23</v>
      </c>
      <c r="G177"/>
      <c r="H177" s="60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</row>
    <row r="178" spans="1:26" s="50" customFormat="1" ht="33.75" customHeight="1" x14ac:dyDescent="0.25">
      <c r="A178" s="71"/>
      <c r="B178" s="89"/>
      <c r="C178" s="74"/>
      <c r="D178" s="80" t="s">
        <v>45</v>
      </c>
      <c r="E178" s="80"/>
      <c r="F178" s="80"/>
      <c r="G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</row>
    <row r="179" spans="1:26" s="50" customFormat="1" ht="26.25" x14ac:dyDescent="0.25">
      <c r="A179" s="71"/>
      <c r="B179" s="89"/>
      <c r="C179" s="74"/>
      <c r="D179" s="48" t="s">
        <v>46</v>
      </c>
      <c r="E179" s="24" t="s">
        <v>15</v>
      </c>
      <c r="F179" s="8">
        <v>13.75</v>
      </c>
      <c r="G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</row>
    <row r="180" spans="1:26" s="50" customFormat="1" x14ac:dyDescent="0.25">
      <c r="A180" s="71"/>
      <c r="B180" s="89"/>
      <c r="C180" s="74"/>
      <c r="D180" s="42" t="s">
        <v>16</v>
      </c>
      <c r="E180" s="16" t="s">
        <v>17</v>
      </c>
      <c r="F180" s="19">
        <f>4571400*0.42/112</f>
        <v>17142.75</v>
      </c>
      <c r="G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</row>
    <row r="181" spans="1:26" s="50" customFormat="1" x14ac:dyDescent="0.25">
      <c r="A181" s="71"/>
      <c r="B181" s="89"/>
      <c r="C181" s="74"/>
      <c r="D181" s="43" t="s">
        <v>18</v>
      </c>
      <c r="E181" s="16" t="s">
        <v>17</v>
      </c>
      <c r="F181" s="19">
        <f>F180*30.2%</f>
        <v>5177.1104999999998</v>
      </c>
      <c r="G181"/>
      <c r="I181"/>
      <c r="J181"/>
      <c r="K181"/>
      <c r="L181"/>
      <c r="M181"/>
      <c r="N181" s="6"/>
      <c r="O181"/>
      <c r="P181"/>
      <c r="Q181"/>
      <c r="R181"/>
      <c r="S181"/>
      <c r="T181"/>
      <c r="U181"/>
      <c r="V181"/>
      <c r="W181"/>
      <c r="X181"/>
      <c r="Y181"/>
      <c r="Z181"/>
    </row>
    <row r="182" spans="1:26" s="50" customFormat="1" x14ac:dyDescent="0.25">
      <c r="A182" s="71"/>
      <c r="B182" s="89"/>
      <c r="C182" s="74"/>
      <c r="D182" s="81" t="s">
        <v>47</v>
      </c>
      <c r="E182" s="82"/>
      <c r="F182" s="83"/>
      <c r="G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</row>
    <row r="183" spans="1:26" s="50" customFormat="1" x14ac:dyDescent="0.25">
      <c r="A183" s="71"/>
      <c r="B183" s="89"/>
      <c r="C183" s="74"/>
      <c r="D183" s="49" t="s">
        <v>48</v>
      </c>
      <c r="E183" s="38" t="s">
        <v>17</v>
      </c>
      <c r="F183" s="39" t="s">
        <v>23</v>
      </c>
      <c r="G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</row>
    <row r="184" spans="1:26" s="50" customFormat="1" x14ac:dyDescent="0.25">
      <c r="A184" s="71"/>
      <c r="B184" s="89"/>
      <c r="C184" s="74"/>
      <c r="D184" s="49" t="s">
        <v>59</v>
      </c>
      <c r="E184" s="38" t="s">
        <v>17</v>
      </c>
      <c r="F184" s="39" t="s">
        <v>23</v>
      </c>
      <c r="G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</row>
    <row r="185" spans="1:26" s="50" customFormat="1" ht="26.25" x14ac:dyDescent="0.25">
      <c r="A185" s="71"/>
      <c r="B185" s="89"/>
      <c r="C185" s="74"/>
      <c r="D185" s="49" t="s">
        <v>70</v>
      </c>
      <c r="E185" s="38" t="s">
        <v>17</v>
      </c>
      <c r="F185" s="39" t="s">
        <v>23</v>
      </c>
      <c r="G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</row>
    <row r="186" spans="1:26" s="50" customFormat="1" ht="39" x14ac:dyDescent="0.25">
      <c r="A186" s="71"/>
      <c r="B186" s="89"/>
      <c r="C186" s="74"/>
      <c r="D186" s="49" t="s">
        <v>61</v>
      </c>
      <c r="E186" s="38" t="s">
        <v>17</v>
      </c>
      <c r="F186" s="39" t="s">
        <v>23</v>
      </c>
      <c r="G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</row>
    <row r="187" spans="1:26" s="50" customFormat="1" x14ac:dyDescent="0.25">
      <c r="A187" s="71"/>
      <c r="B187" s="89"/>
      <c r="C187" s="74"/>
      <c r="D187" s="49" t="s">
        <v>55</v>
      </c>
      <c r="E187" s="40" t="s">
        <v>17</v>
      </c>
      <c r="F187" s="39">
        <f>861184*0.36/112</f>
        <v>2768.0914285714284</v>
      </c>
      <c r="G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</row>
    <row r="188" spans="1:26" s="50" customFormat="1" ht="26.25" x14ac:dyDescent="0.25">
      <c r="A188" s="71"/>
      <c r="B188" s="89"/>
      <c r="C188" s="74"/>
      <c r="D188" s="49" t="s">
        <v>54</v>
      </c>
      <c r="E188" s="40" t="s">
        <v>17</v>
      </c>
      <c r="F188" s="39" t="s">
        <v>23</v>
      </c>
      <c r="G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</row>
    <row r="189" spans="1:26" s="50" customFormat="1" x14ac:dyDescent="0.25">
      <c r="A189" s="72"/>
      <c r="B189" s="90"/>
      <c r="C189" s="75"/>
      <c r="D189" s="49" t="s">
        <v>35</v>
      </c>
      <c r="E189" s="40" t="s">
        <v>17</v>
      </c>
      <c r="F189" s="39">
        <f>59600*0.1/136</f>
        <v>43.823529411764703</v>
      </c>
      <c r="G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</row>
    <row r="190" spans="1:26" s="50" customFormat="1" x14ac:dyDescent="0.25">
      <c r="A190" s="70" t="s">
        <v>81</v>
      </c>
      <c r="B190" s="88" t="s">
        <v>71</v>
      </c>
      <c r="C190" s="73" t="s">
        <v>11</v>
      </c>
      <c r="D190" s="84" t="s">
        <v>12</v>
      </c>
      <c r="E190" s="85"/>
      <c r="F190" s="86"/>
      <c r="G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</row>
    <row r="191" spans="1:26" s="50" customFormat="1" x14ac:dyDescent="0.25">
      <c r="A191" s="71"/>
      <c r="B191" s="89"/>
      <c r="C191" s="74"/>
      <c r="D191" s="87" t="s">
        <v>13</v>
      </c>
      <c r="E191" s="87"/>
      <c r="F191" s="87"/>
      <c r="G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</row>
    <row r="192" spans="1:26" s="50" customFormat="1" x14ac:dyDescent="0.25">
      <c r="A192" s="71"/>
      <c r="B192" s="89"/>
      <c r="C192" s="74"/>
      <c r="D192" s="41" t="s">
        <v>14</v>
      </c>
      <c r="E192" s="40" t="s">
        <v>15</v>
      </c>
      <c r="F192" s="17" t="s">
        <v>23</v>
      </c>
      <c r="G192"/>
      <c r="H192" s="60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</row>
    <row r="193" spans="1:26" s="50" customFormat="1" x14ac:dyDescent="0.25">
      <c r="A193" s="71"/>
      <c r="B193" s="89"/>
      <c r="C193" s="74"/>
      <c r="D193" s="42" t="s">
        <v>16</v>
      </c>
      <c r="E193" s="16" t="s">
        <v>17</v>
      </c>
      <c r="F193" s="17" t="s">
        <v>23</v>
      </c>
      <c r="G193"/>
      <c r="H193" s="60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</row>
    <row r="194" spans="1:26" s="50" customFormat="1" x14ac:dyDescent="0.25">
      <c r="A194" s="71"/>
      <c r="B194" s="89"/>
      <c r="C194" s="74"/>
      <c r="D194" s="43" t="s">
        <v>18</v>
      </c>
      <c r="E194" s="16" t="s">
        <v>17</v>
      </c>
      <c r="F194" s="17" t="s">
        <v>23</v>
      </c>
      <c r="G194" s="6"/>
      <c r="H194" s="60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</row>
    <row r="195" spans="1:26" s="50" customFormat="1" ht="15" customHeight="1" x14ac:dyDescent="0.25">
      <c r="A195" s="71"/>
      <c r="B195" s="89"/>
      <c r="C195" s="74"/>
      <c r="D195" s="81" t="s">
        <v>19</v>
      </c>
      <c r="E195" s="82"/>
      <c r="F195" s="83"/>
      <c r="G195"/>
      <c r="H195" s="60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</row>
    <row r="196" spans="1:26" s="50" customFormat="1" x14ac:dyDescent="0.25">
      <c r="A196" s="71"/>
      <c r="B196" s="89"/>
      <c r="C196" s="74"/>
      <c r="D196" s="81" t="s">
        <v>20</v>
      </c>
      <c r="E196" s="82"/>
      <c r="F196" s="83"/>
      <c r="G196" s="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</row>
    <row r="197" spans="1:26" s="50" customFormat="1" x14ac:dyDescent="0.25">
      <c r="A197" s="71"/>
      <c r="B197" s="89"/>
      <c r="C197" s="74"/>
      <c r="D197" s="44" t="s">
        <v>21</v>
      </c>
      <c r="E197" s="21" t="s">
        <v>22</v>
      </c>
      <c r="F197" s="62">
        <f>600000*0.1/25</f>
        <v>2400</v>
      </c>
      <c r="G197"/>
      <c r="H197" s="60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</row>
    <row r="198" spans="1:26" s="50" customFormat="1" x14ac:dyDescent="0.25">
      <c r="A198" s="71"/>
      <c r="B198" s="89"/>
      <c r="C198" s="74"/>
      <c r="D198" s="44" t="s">
        <v>24</v>
      </c>
      <c r="E198" s="21" t="s">
        <v>25</v>
      </c>
      <c r="F198" s="62">
        <f>1800000*0.1/25</f>
        <v>7200</v>
      </c>
      <c r="G198"/>
      <c r="H198" s="60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</row>
    <row r="199" spans="1:26" s="50" customFormat="1" ht="12.75" customHeight="1" x14ac:dyDescent="0.25">
      <c r="A199" s="71"/>
      <c r="B199" s="89"/>
      <c r="C199" s="74"/>
      <c r="D199" s="44" t="s">
        <v>26</v>
      </c>
      <c r="E199" s="21" t="s">
        <v>27</v>
      </c>
      <c r="F199" s="62">
        <f>44000*0.1/25</f>
        <v>176</v>
      </c>
      <c r="G199"/>
      <c r="H199" s="60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</row>
    <row r="200" spans="1:26" s="50" customFormat="1" ht="12.75" customHeight="1" x14ac:dyDescent="0.25">
      <c r="A200" s="71"/>
      <c r="B200" s="89"/>
      <c r="C200" s="74"/>
      <c r="D200" s="45" t="s">
        <v>57</v>
      </c>
      <c r="E200" s="21" t="s">
        <v>30</v>
      </c>
      <c r="F200" s="63">
        <f>0.1*150000/25</f>
        <v>600</v>
      </c>
      <c r="G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</row>
    <row r="201" spans="1:26" s="50" customFormat="1" ht="21.75" customHeight="1" x14ac:dyDescent="0.25">
      <c r="A201" s="71"/>
      <c r="B201" s="89"/>
      <c r="C201" s="74"/>
      <c r="D201" s="84" t="s">
        <v>28</v>
      </c>
      <c r="E201" s="85"/>
      <c r="F201" s="86"/>
      <c r="G201"/>
      <c r="H201" s="60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</row>
    <row r="202" spans="1:26" s="50" customFormat="1" x14ac:dyDescent="0.25">
      <c r="A202" s="71"/>
      <c r="B202" s="89"/>
      <c r="C202" s="74"/>
      <c r="D202" s="26" t="s">
        <v>29</v>
      </c>
      <c r="E202" s="24" t="s">
        <v>30</v>
      </c>
      <c r="F202" s="25">
        <f>4878.34*0.02/25</f>
        <v>3.9026719999999999</v>
      </c>
      <c r="G202" s="6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</row>
    <row r="203" spans="1:26" s="50" customFormat="1" x14ac:dyDescent="0.25">
      <c r="A203" s="71"/>
      <c r="B203" s="89"/>
      <c r="C203" s="74"/>
      <c r="D203" s="26" t="s">
        <v>31</v>
      </c>
      <c r="E203" s="24" t="s">
        <v>30</v>
      </c>
      <c r="F203" s="25">
        <f>(42321.66+200)*0.02/25</f>
        <v>34.017327999999999</v>
      </c>
      <c r="G203" s="6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</row>
    <row r="204" spans="1:26" s="50" customFormat="1" x14ac:dyDescent="0.25">
      <c r="A204" s="71"/>
      <c r="B204" s="89"/>
      <c r="C204" s="74"/>
      <c r="D204" s="26" t="s">
        <v>68</v>
      </c>
      <c r="E204" s="7" t="s">
        <v>69</v>
      </c>
      <c r="F204" s="8"/>
      <c r="G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</row>
    <row r="205" spans="1:26" s="50" customFormat="1" x14ac:dyDescent="0.25">
      <c r="A205" s="71"/>
      <c r="B205" s="89"/>
      <c r="C205" s="74"/>
      <c r="D205" s="26" t="s">
        <v>33</v>
      </c>
      <c r="E205" s="24" t="s">
        <v>30</v>
      </c>
      <c r="F205" s="17" t="s">
        <v>23</v>
      </c>
      <c r="G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</row>
    <row r="206" spans="1:26" s="50" customFormat="1" ht="39" x14ac:dyDescent="0.25">
      <c r="A206" s="71"/>
      <c r="B206" s="89"/>
      <c r="C206" s="74"/>
      <c r="D206" s="29" t="s">
        <v>34</v>
      </c>
      <c r="E206" s="24" t="s">
        <v>30</v>
      </c>
      <c r="F206" s="17" t="s">
        <v>23</v>
      </c>
      <c r="G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</row>
    <row r="207" spans="1:26" s="50" customFormat="1" x14ac:dyDescent="0.25">
      <c r="A207" s="71"/>
      <c r="B207" s="89"/>
      <c r="C207" s="74"/>
      <c r="D207" s="26" t="s">
        <v>35</v>
      </c>
      <c r="E207" s="24" t="s">
        <v>30</v>
      </c>
      <c r="F207" s="17" t="s">
        <v>23</v>
      </c>
      <c r="G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</row>
    <row r="208" spans="1:26" s="50" customFormat="1" x14ac:dyDescent="0.25">
      <c r="A208" s="71"/>
      <c r="B208" s="89"/>
      <c r="C208" s="74"/>
      <c r="D208" s="26" t="s">
        <v>36</v>
      </c>
      <c r="E208" s="24" t="s">
        <v>30</v>
      </c>
      <c r="F208" s="17" t="s">
        <v>23</v>
      </c>
      <c r="G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</row>
    <row r="209" spans="1:26" s="50" customFormat="1" ht="29.25" customHeight="1" x14ac:dyDescent="0.25">
      <c r="A209" s="71"/>
      <c r="B209" s="89"/>
      <c r="C209" s="74"/>
      <c r="D209" s="29" t="s">
        <v>38</v>
      </c>
      <c r="E209" s="24" t="s">
        <v>30</v>
      </c>
      <c r="F209" s="17" t="s">
        <v>23</v>
      </c>
      <c r="G209"/>
      <c r="H209" s="60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</row>
    <row r="210" spans="1:26" s="50" customFormat="1" ht="23.25" customHeight="1" x14ac:dyDescent="0.25">
      <c r="A210" s="71"/>
      <c r="B210" s="89"/>
      <c r="C210" s="74"/>
      <c r="D210" s="84" t="s">
        <v>39</v>
      </c>
      <c r="E210" s="85"/>
      <c r="F210" s="86"/>
      <c r="G210"/>
      <c r="H210" s="6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</row>
    <row r="211" spans="1:26" s="50" customFormat="1" x14ac:dyDescent="0.25">
      <c r="A211" s="71"/>
      <c r="B211" s="89"/>
      <c r="C211" s="74"/>
      <c r="D211" s="7" t="s">
        <v>40</v>
      </c>
      <c r="E211" s="46" t="s">
        <v>41</v>
      </c>
      <c r="F211" s="8" t="s">
        <v>23</v>
      </c>
      <c r="G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</row>
    <row r="212" spans="1:26" s="50" customFormat="1" x14ac:dyDescent="0.25">
      <c r="A212" s="71"/>
      <c r="B212" s="89"/>
      <c r="C212" s="74"/>
      <c r="D212" s="81" t="s">
        <v>42</v>
      </c>
      <c r="E212" s="82"/>
      <c r="F212" s="83"/>
      <c r="G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</row>
    <row r="213" spans="1:26" s="50" customFormat="1" x14ac:dyDescent="0.25">
      <c r="A213" s="71"/>
      <c r="B213" s="89"/>
      <c r="C213" s="74"/>
      <c r="D213" s="47" t="s">
        <v>43</v>
      </c>
      <c r="E213" s="33" t="s">
        <v>44</v>
      </c>
      <c r="F213" s="8" t="s">
        <v>23</v>
      </c>
      <c r="G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</row>
    <row r="214" spans="1:26" s="50" customFormat="1" ht="31.5" customHeight="1" x14ac:dyDescent="0.25">
      <c r="A214" s="71"/>
      <c r="B214" s="89"/>
      <c r="C214" s="74"/>
      <c r="D214" s="81" t="s">
        <v>45</v>
      </c>
      <c r="E214" s="82"/>
      <c r="F214" s="83"/>
      <c r="G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</row>
    <row r="215" spans="1:26" s="50" customFormat="1" ht="26.25" x14ac:dyDescent="0.25">
      <c r="A215" s="71"/>
      <c r="B215" s="89"/>
      <c r="C215" s="74"/>
      <c r="D215" s="48" t="s">
        <v>46</v>
      </c>
      <c r="E215" s="24" t="s">
        <v>15</v>
      </c>
      <c r="F215" s="8">
        <v>13.75</v>
      </c>
      <c r="G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  <c r="Z215"/>
    </row>
    <row r="216" spans="1:26" s="50" customFormat="1" x14ac:dyDescent="0.25">
      <c r="A216" s="71"/>
      <c r="B216" s="89"/>
      <c r="C216" s="74"/>
      <c r="D216" s="42" t="s">
        <v>16</v>
      </c>
      <c r="E216" s="16" t="s">
        <v>17</v>
      </c>
      <c r="F216" s="19">
        <f>4571400*0.1/25</f>
        <v>18285.599999999999</v>
      </c>
      <c r="G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</row>
    <row r="217" spans="1:26" s="50" customFormat="1" x14ac:dyDescent="0.25">
      <c r="A217" s="71"/>
      <c r="B217" s="89"/>
      <c r="C217" s="74"/>
      <c r="D217" s="43" t="s">
        <v>18</v>
      </c>
      <c r="E217" s="16" t="s">
        <v>17</v>
      </c>
      <c r="F217" s="19">
        <f>F216*30.2%</f>
        <v>5522.2511999999997</v>
      </c>
      <c r="G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</row>
    <row r="218" spans="1:26" s="50" customFormat="1" x14ac:dyDescent="0.25">
      <c r="A218" s="71"/>
      <c r="B218" s="89"/>
      <c r="C218" s="74"/>
      <c r="D218" s="81" t="s">
        <v>47</v>
      </c>
      <c r="E218" s="82"/>
      <c r="F218" s="83"/>
      <c r="G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</row>
    <row r="219" spans="1:26" s="50" customFormat="1" x14ac:dyDescent="0.25">
      <c r="A219" s="71"/>
      <c r="B219" s="89"/>
      <c r="C219" s="74"/>
      <c r="D219" s="49" t="s">
        <v>48</v>
      </c>
      <c r="E219" s="38" t="s">
        <v>17</v>
      </c>
      <c r="F219" s="39" t="s">
        <v>23</v>
      </c>
      <c r="G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</row>
    <row r="220" spans="1:26" s="50" customFormat="1" x14ac:dyDescent="0.25">
      <c r="A220" s="71"/>
      <c r="B220" s="89"/>
      <c r="C220" s="74"/>
      <c r="D220" s="49" t="s">
        <v>59</v>
      </c>
      <c r="E220" s="38" t="s">
        <v>17</v>
      </c>
      <c r="F220" s="39" t="s">
        <v>23</v>
      </c>
      <c r="G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  <c r="Z220"/>
    </row>
    <row r="221" spans="1:26" s="50" customFormat="1" ht="26.25" x14ac:dyDescent="0.25">
      <c r="A221" s="71"/>
      <c r="B221" s="89"/>
      <c r="C221" s="74"/>
      <c r="D221" s="49" t="s">
        <v>70</v>
      </c>
      <c r="E221" s="38" t="s">
        <v>17</v>
      </c>
      <c r="F221" s="39" t="s">
        <v>23</v>
      </c>
      <c r="G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  <c r="Z221"/>
    </row>
    <row r="222" spans="1:26" s="50" customFormat="1" ht="39" x14ac:dyDescent="0.25">
      <c r="A222" s="71"/>
      <c r="B222" s="89"/>
      <c r="C222" s="74"/>
      <c r="D222" s="49" t="s">
        <v>61</v>
      </c>
      <c r="E222" s="38" t="s">
        <v>17</v>
      </c>
      <c r="F222" s="39" t="s">
        <v>23</v>
      </c>
      <c r="G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</row>
    <row r="223" spans="1:26" s="50" customFormat="1" x14ac:dyDescent="0.25">
      <c r="A223" s="71"/>
      <c r="B223" s="89"/>
      <c r="C223" s="74"/>
      <c r="D223" s="49" t="s">
        <v>55</v>
      </c>
      <c r="E223" s="40" t="s">
        <v>17</v>
      </c>
      <c r="F223" s="39">
        <f>861184*0.06/25</f>
        <v>2066.8416000000002</v>
      </c>
      <c r="G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</row>
    <row r="224" spans="1:26" s="50" customFormat="1" ht="26.25" x14ac:dyDescent="0.25">
      <c r="A224" s="71"/>
      <c r="B224" s="89"/>
      <c r="C224" s="74"/>
      <c r="D224" s="49" t="s">
        <v>54</v>
      </c>
      <c r="E224" s="40" t="s">
        <v>17</v>
      </c>
      <c r="F224" s="39" t="s">
        <v>23</v>
      </c>
      <c r="G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</row>
    <row r="225" spans="1:26" s="50" customFormat="1" x14ac:dyDescent="0.25">
      <c r="A225" s="72"/>
      <c r="B225" s="90"/>
      <c r="C225" s="75"/>
      <c r="D225" s="49" t="s">
        <v>35</v>
      </c>
      <c r="E225" s="40" t="s">
        <v>17</v>
      </c>
      <c r="F225" s="39">
        <f>59600*0.02/25</f>
        <v>47.68</v>
      </c>
      <c r="G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</row>
    <row r="226" spans="1:26" s="50" customFormat="1" ht="30.75" customHeight="1" x14ac:dyDescent="0.25">
      <c r="A226" s="70" t="s">
        <v>72</v>
      </c>
      <c r="B226" s="73" t="s">
        <v>73</v>
      </c>
      <c r="C226" s="73" t="s">
        <v>11</v>
      </c>
      <c r="D226" s="84" t="s">
        <v>12</v>
      </c>
      <c r="E226" s="85"/>
      <c r="F226" s="86"/>
      <c r="G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</row>
    <row r="227" spans="1:26" s="50" customFormat="1" x14ac:dyDescent="0.25">
      <c r="A227" s="71"/>
      <c r="B227" s="74"/>
      <c r="C227" s="74"/>
      <c r="D227" s="87" t="s">
        <v>13</v>
      </c>
      <c r="E227" s="87"/>
      <c r="F227" s="87"/>
      <c r="G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</row>
    <row r="228" spans="1:26" s="50" customFormat="1" x14ac:dyDescent="0.25">
      <c r="A228" s="71"/>
      <c r="B228" s="74"/>
      <c r="C228" s="74"/>
      <c r="D228" s="41" t="s">
        <v>74</v>
      </c>
      <c r="E228" s="40" t="s">
        <v>15</v>
      </c>
      <c r="F228" s="17">
        <f>34.45*0.24</f>
        <v>8.2680000000000007</v>
      </c>
      <c r="G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</row>
    <row r="229" spans="1:26" s="50" customFormat="1" x14ac:dyDescent="0.25">
      <c r="A229" s="71"/>
      <c r="B229" s="74"/>
      <c r="C229" s="74"/>
      <c r="D229" s="42" t="s">
        <v>16</v>
      </c>
      <c r="E229" s="16" t="s">
        <v>17</v>
      </c>
      <c r="F229" s="17">
        <f>388700/69</f>
        <v>5633.333333333333</v>
      </c>
      <c r="G229" s="6"/>
      <c r="H229" s="60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</row>
    <row r="230" spans="1:26" s="50" customFormat="1" x14ac:dyDescent="0.25">
      <c r="A230" s="71"/>
      <c r="B230" s="74"/>
      <c r="C230" s="74"/>
      <c r="D230" s="43" t="s">
        <v>18</v>
      </c>
      <c r="E230" s="16" t="s">
        <v>17</v>
      </c>
      <c r="F230" s="19">
        <f>F229*30.2%</f>
        <v>1701.2666666666664</v>
      </c>
      <c r="G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</row>
    <row r="231" spans="1:26" s="50" customFormat="1" x14ac:dyDescent="0.25">
      <c r="A231" s="71"/>
      <c r="B231" s="74"/>
      <c r="C231" s="74"/>
      <c r="D231" s="81" t="s">
        <v>19</v>
      </c>
      <c r="E231" s="82"/>
      <c r="F231" s="83"/>
      <c r="G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</row>
    <row r="232" spans="1:26" s="50" customFormat="1" x14ac:dyDescent="0.25">
      <c r="A232" s="71"/>
      <c r="B232" s="74"/>
      <c r="C232" s="74"/>
      <c r="D232" s="81" t="s">
        <v>20</v>
      </c>
      <c r="E232" s="82"/>
      <c r="F232" s="83"/>
      <c r="G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</row>
    <row r="233" spans="1:26" s="50" customFormat="1" x14ac:dyDescent="0.25">
      <c r="A233" s="71"/>
      <c r="B233" s="74"/>
      <c r="C233" s="74"/>
      <c r="D233" s="44" t="s">
        <v>21</v>
      </c>
      <c r="E233" s="21" t="s">
        <v>22</v>
      </c>
      <c r="F233" s="22" t="s">
        <v>23</v>
      </c>
      <c r="G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</row>
    <row r="234" spans="1:26" s="50" customFormat="1" x14ac:dyDescent="0.25">
      <c r="A234" s="71"/>
      <c r="B234" s="74"/>
      <c r="C234" s="74"/>
      <c r="D234" s="44" t="s">
        <v>24</v>
      </c>
      <c r="E234" s="21" t="s">
        <v>25</v>
      </c>
      <c r="F234" s="22" t="s">
        <v>23</v>
      </c>
      <c r="G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</row>
    <row r="235" spans="1:26" s="50" customFormat="1" ht="15.75" x14ac:dyDescent="0.25">
      <c r="A235" s="71"/>
      <c r="B235" s="74"/>
      <c r="C235" s="74"/>
      <c r="D235" s="44" t="s">
        <v>26</v>
      </c>
      <c r="E235" s="21" t="s">
        <v>27</v>
      </c>
      <c r="F235" s="22" t="s">
        <v>23</v>
      </c>
      <c r="G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</row>
    <row r="236" spans="1:26" s="50" customFormat="1" ht="37.5" customHeight="1" x14ac:dyDescent="0.25">
      <c r="A236" s="71"/>
      <c r="B236" s="74"/>
      <c r="C236" s="74"/>
      <c r="D236" s="84" t="s">
        <v>28</v>
      </c>
      <c r="E236" s="85"/>
      <c r="F236" s="86"/>
      <c r="G236"/>
      <c r="H236" s="60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</row>
    <row r="237" spans="1:26" s="50" customFormat="1" x14ac:dyDescent="0.25">
      <c r="A237" s="71"/>
      <c r="B237" s="74"/>
      <c r="C237" s="74"/>
      <c r="D237" s="26" t="s">
        <v>29</v>
      </c>
      <c r="E237" s="24" t="s">
        <v>30</v>
      </c>
      <c r="F237" s="25" t="s">
        <v>23</v>
      </c>
      <c r="G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</row>
    <row r="238" spans="1:26" s="50" customFormat="1" x14ac:dyDescent="0.25">
      <c r="A238" s="71"/>
      <c r="B238" s="74"/>
      <c r="C238" s="74"/>
      <c r="D238" s="26" t="s">
        <v>31</v>
      </c>
      <c r="E238" s="24" t="s">
        <v>30</v>
      </c>
      <c r="F238" s="25" t="s">
        <v>23</v>
      </c>
      <c r="G238"/>
      <c r="H238" s="60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</row>
    <row r="239" spans="1:26" s="50" customFormat="1" x14ac:dyDescent="0.25">
      <c r="A239" s="71"/>
      <c r="B239" s="74"/>
      <c r="C239" s="74"/>
      <c r="D239" s="26" t="s">
        <v>68</v>
      </c>
      <c r="E239" s="7" t="s">
        <v>69</v>
      </c>
      <c r="F239" s="25" t="s">
        <v>23</v>
      </c>
      <c r="G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</row>
    <row r="240" spans="1:26" s="50" customFormat="1" x14ac:dyDescent="0.25">
      <c r="A240" s="71"/>
      <c r="B240" s="74"/>
      <c r="C240" s="74"/>
      <c r="D240" s="26" t="s">
        <v>33</v>
      </c>
      <c r="E240" s="24" t="s">
        <v>30</v>
      </c>
      <c r="F240" s="25" t="s">
        <v>23</v>
      </c>
      <c r="G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  <c r="Z240"/>
    </row>
    <row r="241" spans="1:26" s="50" customFormat="1" ht="39" x14ac:dyDescent="0.25">
      <c r="A241" s="71"/>
      <c r="B241" s="74"/>
      <c r="C241" s="74"/>
      <c r="D241" s="29" t="s">
        <v>34</v>
      </c>
      <c r="E241" s="24" t="s">
        <v>30</v>
      </c>
      <c r="F241" s="25" t="s">
        <v>23</v>
      </c>
      <c r="G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</row>
    <row r="242" spans="1:26" s="50" customFormat="1" x14ac:dyDescent="0.25">
      <c r="A242" s="71"/>
      <c r="B242" s="74"/>
      <c r="C242" s="74"/>
      <c r="D242" s="26" t="s">
        <v>35</v>
      </c>
      <c r="E242" s="24" t="s">
        <v>30</v>
      </c>
      <c r="F242" s="25" t="s">
        <v>23</v>
      </c>
      <c r="G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</row>
    <row r="243" spans="1:26" s="50" customFormat="1" x14ac:dyDescent="0.25">
      <c r="A243" s="71"/>
      <c r="B243" s="74"/>
      <c r="C243" s="74"/>
      <c r="D243" s="26" t="s">
        <v>36</v>
      </c>
      <c r="E243" s="24" t="s">
        <v>30</v>
      </c>
      <c r="F243" s="25" t="s">
        <v>23</v>
      </c>
      <c r="G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</row>
    <row r="244" spans="1:26" s="50" customFormat="1" ht="26.25" x14ac:dyDescent="0.25">
      <c r="A244" s="71"/>
      <c r="B244" s="74"/>
      <c r="C244" s="74"/>
      <c r="D244" s="29" t="s">
        <v>38</v>
      </c>
      <c r="E244" s="24" t="s">
        <v>30</v>
      </c>
      <c r="F244" s="25" t="s">
        <v>23</v>
      </c>
      <c r="G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</row>
    <row r="245" spans="1:26" s="50" customFormat="1" ht="26.25" customHeight="1" x14ac:dyDescent="0.25">
      <c r="A245" s="71"/>
      <c r="B245" s="74"/>
      <c r="C245" s="74"/>
      <c r="D245" s="84" t="s">
        <v>39</v>
      </c>
      <c r="E245" s="85"/>
      <c r="F245" s="86"/>
      <c r="G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</row>
    <row r="246" spans="1:26" s="50" customFormat="1" x14ac:dyDescent="0.25">
      <c r="A246" s="71"/>
      <c r="B246" s="74"/>
      <c r="C246" s="74"/>
      <c r="D246" s="7" t="s">
        <v>40</v>
      </c>
      <c r="E246" s="46" t="s">
        <v>41</v>
      </c>
      <c r="F246" s="8" t="s">
        <v>23</v>
      </c>
      <c r="G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</row>
    <row r="247" spans="1:26" s="50" customFormat="1" x14ac:dyDescent="0.25">
      <c r="A247" s="71"/>
      <c r="B247" s="74"/>
      <c r="C247" s="74"/>
      <c r="D247" s="81" t="s">
        <v>42</v>
      </c>
      <c r="E247" s="82"/>
      <c r="F247" s="83"/>
      <c r="G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</row>
    <row r="248" spans="1:26" s="50" customFormat="1" x14ac:dyDescent="0.25">
      <c r="A248" s="71"/>
      <c r="B248" s="74"/>
      <c r="C248" s="74"/>
      <c r="D248" s="47" t="s">
        <v>43</v>
      </c>
      <c r="E248" s="33" t="s">
        <v>44</v>
      </c>
      <c r="F248" s="8" t="s">
        <v>23</v>
      </c>
      <c r="G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  <c r="X248"/>
      <c r="Y248"/>
      <c r="Z248"/>
    </row>
    <row r="249" spans="1:26" s="50" customFormat="1" ht="26.25" customHeight="1" x14ac:dyDescent="0.25">
      <c r="A249" s="71"/>
      <c r="B249" s="74"/>
      <c r="C249" s="74"/>
      <c r="D249" s="81" t="s">
        <v>45</v>
      </c>
      <c r="E249" s="82"/>
      <c r="F249" s="83"/>
      <c r="G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</row>
    <row r="250" spans="1:26" s="50" customFormat="1" ht="26.25" x14ac:dyDescent="0.25">
      <c r="A250" s="71"/>
      <c r="B250" s="74"/>
      <c r="C250" s="74"/>
      <c r="D250" s="48" t="s">
        <v>46</v>
      </c>
      <c r="E250" s="24" t="s">
        <v>15</v>
      </c>
      <c r="F250" s="8" t="s">
        <v>23</v>
      </c>
      <c r="G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</row>
    <row r="251" spans="1:26" s="50" customFormat="1" x14ac:dyDescent="0.25">
      <c r="A251" s="71"/>
      <c r="B251" s="74"/>
      <c r="C251" s="74"/>
      <c r="D251" s="42" t="s">
        <v>16</v>
      </c>
      <c r="E251" s="16" t="s">
        <v>17</v>
      </c>
      <c r="F251" s="19" t="s">
        <v>23</v>
      </c>
      <c r="G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</row>
    <row r="252" spans="1:26" s="50" customFormat="1" x14ac:dyDescent="0.25">
      <c r="A252" s="71"/>
      <c r="B252" s="74"/>
      <c r="C252" s="74"/>
      <c r="D252" s="43" t="s">
        <v>18</v>
      </c>
      <c r="E252" s="16" t="s">
        <v>17</v>
      </c>
      <c r="F252" s="19" t="s">
        <v>23</v>
      </c>
      <c r="G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</row>
    <row r="253" spans="1:26" s="50" customFormat="1" x14ac:dyDescent="0.25">
      <c r="A253" s="71"/>
      <c r="B253" s="74"/>
      <c r="C253" s="74"/>
      <c r="D253" s="81" t="s">
        <v>47</v>
      </c>
      <c r="E253" s="82"/>
      <c r="F253" s="83"/>
      <c r="G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</row>
    <row r="254" spans="1:26" s="50" customFormat="1" x14ac:dyDescent="0.25">
      <c r="A254" s="71"/>
      <c r="B254" s="74"/>
      <c r="C254" s="74"/>
      <c r="D254" s="49" t="s">
        <v>48</v>
      </c>
      <c r="E254" s="38" t="s">
        <v>17</v>
      </c>
      <c r="F254" s="39" t="s">
        <v>23</v>
      </c>
      <c r="G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</row>
    <row r="255" spans="1:26" s="50" customFormat="1" ht="26.25" x14ac:dyDescent="0.25">
      <c r="A255" s="71"/>
      <c r="B255" s="74"/>
      <c r="C255" s="74"/>
      <c r="D255" s="49" t="s">
        <v>83</v>
      </c>
      <c r="E255" s="38" t="s">
        <v>17</v>
      </c>
      <c r="F255" s="39" t="s">
        <v>23</v>
      </c>
      <c r="G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</row>
    <row r="256" spans="1:26" s="50" customFormat="1" ht="26.25" x14ac:dyDescent="0.25">
      <c r="A256" s="71"/>
      <c r="B256" s="74"/>
      <c r="C256" s="74"/>
      <c r="D256" s="49" t="s">
        <v>70</v>
      </c>
      <c r="E256" s="38" t="s">
        <v>17</v>
      </c>
      <c r="F256" s="39" t="s">
        <v>23</v>
      </c>
      <c r="G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</row>
    <row r="257" spans="1:23" s="50" customFormat="1" ht="39" x14ac:dyDescent="0.25">
      <c r="A257" s="71"/>
      <c r="B257" s="74"/>
      <c r="C257" s="74"/>
      <c r="D257" s="49" t="s">
        <v>61</v>
      </c>
      <c r="E257" s="38" t="s">
        <v>17</v>
      </c>
      <c r="F257" s="39" t="s">
        <v>23</v>
      </c>
      <c r="G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</row>
    <row r="258" spans="1:23" s="50" customFormat="1" x14ac:dyDescent="0.25">
      <c r="A258" s="71"/>
      <c r="B258" s="74"/>
      <c r="C258" s="74"/>
      <c r="D258" s="49" t="s">
        <v>52</v>
      </c>
      <c r="E258" s="38" t="s">
        <v>53</v>
      </c>
      <c r="F258" s="39" t="s">
        <v>23</v>
      </c>
      <c r="G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</row>
    <row r="259" spans="1:23" s="50" customFormat="1" ht="26.25" x14ac:dyDescent="0.25">
      <c r="A259" s="71"/>
      <c r="B259" s="74"/>
      <c r="C259" s="74"/>
      <c r="D259" s="49" t="s">
        <v>54</v>
      </c>
      <c r="E259" s="40" t="s">
        <v>17</v>
      </c>
      <c r="F259" s="39" t="s">
        <v>23</v>
      </c>
      <c r="G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</row>
    <row r="260" spans="1:23" s="50" customFormat="1" x14ac:dyDescent="0.25">
      <c r="A260" s="72"/>
      <c r="B260" s="75"/>
      <c r="C260" s="75"/>
      <c r="D260" s="49" t="s">
        <v>35</v>
      </c>
      <c r="E260" s="40" t="s">
        <v>17</v>
      </c>
      <c r="F260" s="39" t="s">
        <v>23</v>
      </c>
      <c r="G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</row>
    <row r="261" spans="1:23" s="50" customFormat="1" ht="21.75" customHeight="1" x14ac:dyDescent="0.25">
      <c r="A261" s="70" t="s">
        <v>75</v>
      </c>
      <c r="B261" s="73" t="s">
        <v>76</v>
      </c>
      <c r="C261" s="73" t="s">
        <v>11</v>
      </c>
      <c r="D261" s="81" t="s">
        <v>12</v>
      </c>
      <c r="E261" s="82"/>
      <c r="F261" s="83"/>
      <c r="G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</row>
    <row r="262" spans="1:23" s="50" customFormat="1" x14ac:dyDescent="0.25">
      <c r="A262" s="71"/>
      <c r="B262" s="74"/>
      <c r="C262" s="74"/>
      <c r="D262" s="81" t="s">
        <v>13</v>
      </c>
      <c r="E262" s="82"/>
      <c r="F262" s="83"/>
      <c r="G262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</row>
    <row r="263" spans="1:23" s="50" customFormat="1" x14ac:dyDescent="0.25">
      <c r="A263" s="71"/>
      <c r="B263" s="74"/>
      <c r="C263" s="74"/>
      <c r="D263" s="41" t="s">
        <v>74</v>
      </c>
      <c r="E263" s="40" t="s">
        <v>15</v>
      </c>
      <c r="F263" s="17" t="s">
        <v>23</v>
      </c>
      <c r="G263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</row>
    <row r="264" spans="1:23" s="50" customFormat="1" x14ac:dyDescent="0.25">
      <c r="A264" s="71"/>
      <c r="B264" s="74"/>
      <c r="C264" s="74"/>
      <c r="D264" s="42" t="s">
        <v>16</v>
      </c>
      <c r="E264" s="16" t="s">
        <v>17</v>
      </c>
      <c r="F264" s="17" t="s">
        <v>23</v>
      </c>
      <c r="G264" s="6"/>
      <c r="H264" s="60"/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</row>
    <row r="265" spans="1:23" s="50" customFormat="1" x14ac:dyDescent="0.25">
      <c r="A265" s="71"/>
      <c r="B265" s="74"/>
      <c r="C265" s="74"/>
      <c r="D265" s="43" t="s">
        <v>18</v>
      </c>
      <c r="E265" s="16" t="s">
        <v>17</v>
      </c>
      <c r="F265" s="19" t="s">
        <v>23</v>
      </c>
      <c r="G265" s="6"/>
      <c r="H265" s="60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</row>
    <row r="266" spans="1:23" s="50" customFormat="1" x14ac:dyDescent="0.25">
      <c r="A266" s="71"/>
      <c r="B266" s="74"/>
      <c r="C266" s="74"/>
      <c r="D266" s="81" t="s">
        <v>19</v>
      </c>
      <c r="E266" s="82"/>
      <c r="F266" s="83"/>
      <c r="G266" s="6"/>
      <c r="H266" s="60"/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</row>
    <row r="267" spans="1:23" s="50" customFormat="1" x14ac:dyDescent="0.25">
      <c r="A267" s="71"/>
      <c r="B267" s="74"/>
      <c r="C267" s="74"/>
      <c r="D267" s="81" t="s">
        <v>20</v>
      </c>
      <c r="E267" s="82"/>
      <c r="F267" s="83"/>
      <c r="G267"/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</row>
    <row r="268" spans="1:23" s="50" customFormat="1" x14ac:dyDescent="0.25">
      <c r="A268" s="71"/>
      <c r="B268" s="74"/>
      <c r="C268" s="74"/>
      <c r="D268" s="44" t="s">
        <v>21</v>
      </c>
      <c r="E268" s="21" t="s">
        <v>22</v>
      </c>
      <c r="F268" s="22" t="s">
        <v>23</v>
      </c>
      <c r="G268"/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</row>
    <row r="269" spans="1:23" s="50" customFormat="1" x14ac:dyDescent="0.25">
      <c r="A269" s="71"/>
      <c r="B269" s="74"/>
      <c r="C269" s="74"/>
      <c r="D269" s="44" t="s">
        <v>24</v>
      </c>
      <c r="E269" s="21" t="s">
        <v>25</v>
      </c>
      <c r="F269" s="22" t="s">
        <v>23</v>
      </c>
      <c r="G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</row>
    <row r="270" spans="1:23" s="50" customFormat="1" ht="15.75" x14ac:dyDescent="0.25">
      <c r="A270" s="71"/>
      <c r="B270" s="74"/>
      <c r="C270" s="74"/>
      <c r="D270" s="44" t="s">
        <v>26</v>
      </c>
      <c r="E270" s="21" t="s">
        <v>27</v>
      </c>
      <c r="F270" s="22" t="s">
        <v>23</v>
      </c>
      <c r="G270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</row>
    <row r="271" spans="1:23" s="50" customFormat="1" ht="30.75" customHeight="1" x14ac:dyDescent="0.25">
      <c r="A271" s="71"/>
      <c r="B271" s="74"/>
      <c r="C271" s="74"/>
      <c r="D271" s="81" t="s">
        <v>28</v>
      </c>
      <c r="E271" s="82"/>
      <c r="F271" s="83"/>
      <c r="G271"/>
      <c r="H271" s="60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</row>
    <row r="272" spans="1:23" s="50" customFormat="1" x14ac:dyDescent="0.25">
      <c r="A272" s="71"/>
      <c r="B272" s="74"/>
      <c r="C272" s="74"/>
      <c r="D272" s="26" t="s">
        <v>29</v>
      </c>
      <c r="E272" s="24" t="s">
        <v>30</v>
      </c>
      <c r="F272" s="25" t="s">
        <v>23</v>
      </c>
      <c r="G272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</row>
    <row r="273" spans="1:23" s="50" customFormat="1" x14ac:dyDescent="0.25">
      <c r="A273" s="71"/>
      <c r="B273" s="74"/>
      <c r="C273" s="74"/>
      <c r="D273" s="26" t="s">
        <v>31</v>
      </c>
      <c r="E273" s="24" t="s">
        <v>30</v>
      </c>
      <c r="F273" s="54" t="s">
        <v>23</v>
      </c>
      <c r="G273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</row>
    <row r="274" spans="1:23" s="50" customFormat="1" x14ac:dyDescent="0.25">
      <c r="A274" s="71"/>
      <c r="B274" s="74"/>
      <c r="C274" s="74"/>
      <c r="D274" s="26" t="s">
        <v>68</v>
      </c>
      <c r="E274" s="7" t="s">
        <v>69</v>
      </c>
      <c r="F274" s="25" t="s">
        <v>23</v>
      </c>
      <c r="G274"/>
      <c r="H274" s="60"/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</row>
    <row r="275" spans="1:23" s="50" customFormat="1" x14ac:dyDescent="0.25">
      <c r="A275" s="71"/>
      <c r="B275" s="74"/>
      <c r="C275" s="74"/>
      <c r="D275" s="26" t="s">
        <v>33</v>
      </c>
      <c r="E275" s="24" t="s">
        <v>30</v>
      </c>
      <c r="F275" s="25" t="s">
        <v>23</v>
      </c>
      <c r="G275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</row>
    <row r="276" spans="1:23" s="50" customFormat="1" ht="39" x14ac:dyDescent="0.25">
      <c r="A276" s="71"/>
      <c r="B276" s="74"/>
      <c r="C276" s="74"/>
      <c r="D276" s="29" t="s">
        <v>34</v>
      </c>
      <c r="E276" s="24" t="s">
        <v>30</v>
      </c>
      <c r="F276" s="25" t="s">
        <v>23</v>
      </c>
      <c r="G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</row>
    <row r="277" spans="1:23" s="50" customFormat="1" x14ac:dyDescent="0.25">
      <c r="A277" s="71"/>
      <c r="B277" s="74"/>
      <c r="C277" s="74"/>
      <c r="D277" s="26" t="s">
        <v>35</v>
      </c>
      <c r="E277" s="24" t="s">
        <v>30</v>
      </c>
      <c r="F277" s="25" t="s">
        <v>23</v>
      </c>
      <c r="G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</row>
    <row r="278" spans="1:23" s="50" customFormat="1" x14ac:dyDescent="0.25">
      <c r="A278" s="71"/>
      <c r="B278" s="74"/>
      <c r="C278" s="74"/>
      <c r="D278" s="26" t="s">
        <v>36</v>
      </c>
      <c r="E278" s="24" t="s">
        <v>30</v>
      </c>
      <c r="F278" s="25" t="s">
        <v>23</v>
      </c>
      <c r="G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</row>
    <row r="279" spans="1:23" s="50" customFormat="1" ht="26.25" x14ac:dyDescent="0.25">
      <c r="A279" s="71"/>
      <c r="B279" s="74"/>
      <c r="C279" s="74"/>
      <c r="D279" s="29" t="s">
        <v>38</v>
      </c>
      <c r="E279" s="24" t="s">
        <v>30</v>
      </c>
      <c r="F279" s="25" t="s">
        <v>23</v>
      </c>
      <c r="G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</row>
    <row r="280" spans="1:23" s="50" customFormat="1" ht="29.25" customHeight="1" x14ac:dyDescent="0.25">
      <c r="A280" s="71"/>
      <c r="B280" s="74"/>
      <c r="C280" s="74"/>
      <c r="D280" s="84" t="s">
        <v>39</v>
      </c>
      <c r="E280" s="85"/>
      <c r="F280" s="86"/>
      <c r="G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</row>
    <row r="281" spans="1:23" s="50" customFormat="1" x14ac:dyDescent="0.25">
      <c r="A281" s="71"/>
      <c r="B281" s="74"/>
      <c r="C281" s="74"/>
      <c r="D281" s="26" t="s">
        <v>40</v>
      </c>
      <c r="E281" s="46" t="s">
        <v>41</v>
      </c>
      <c r="F281" s="8" t="s">
        <v>23</v>
      </c>
      <c r="G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</row>
    <row r="282" spans="1:23" s="50" customFormat="1" x14ac:dyDescent="0.25">
      <c r="A282" s="71"/>
      <c r="B282" s="74"/>
      <c r="C282" s="74"/>
      <c r="D282" s="81" t="s">
        <v>42</v>
      </c>
      <c r="E282" s="82"/>
      <c r="F282" s="83"/>
      <c r="G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</row>
    <row r="283" spans="1:23" s="50" customFormat="1" x14ac:dyDescent="0.25">
      <c r="A283" s="71"/>
      <c r="B283" s="74"/>
      <c r="C283" s="74"/>
      <c r="D283" s="47" t="s">
        <v>43</v>
      </c>
      <c r="E283" s="33" t="s">
        <v>44</v>
      </c>
      <c r="F283" s="8" t="s">
        <v>23</v>
      </c>
      <c r="G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</row>
    <row r="284" spans="1:23" s="50" customFormat="1" ht="28.5" customHeight="1" x14ac:dyDescent="0.25">
      <c r="A284" s="71"/>
      <c r="B284" s="74"/>
      <c r="C284" s="74"/>
      <c r="D284" s="81" t="s">
        <v>45</v>
      </c>
      <c r="E284" s="82"/>
      <c r="F284" s="83"/>
      <c r="G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</row>
    <row r="285" spans="1:23" s="50" customFormat="1" ht="26.25" x14ac:dyDescent="0.25">
      <c r="A285" s="71"/>
      <c r="B285" s="74"/>
      <c r="C285" s="74"/>
      <c r="D285" s="48" t="s">
        <v>46</v>
      </c>
      <c r="E285" s="24" t="s">
        <v>15</v>
      </c>
      <c r="F285" s="8" t="s">
        <v>23</v>
      </c>
      <c r="G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</row>
    <row r="286" spans="1:23" s="50" customFormat="1" x14ac:dyDescent="0.25">
      <c r="A286" s="71"/>
      <c r="B286" s="74"/>
      <c r="C286" s="74"/>
      <c r="D286" s="55" t="s">
        <v>77</v>
      </c>
      <c r="E286" s="24" t="s">
        <v>78</v>
      </c>
      <c r="F286" s="8" t="s">
        <v>23</v>
      </c>
      <c r="G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</row>
    <row r="287" spans="1:23" s="50" customFormat="1" x14ac:dyDescent="0.25">
      <c r="A287" s="71"/>
      <c r="B287" s="74"/>
      <c r="C287" s="74"/>
      <c r="D287" s="42" t="s">
        <v>16</v>
      </c>
      <c r="E287" s="16" t="s">
        <v>17</v>
      </c>
      <c r="F287" s="19" t="s">
        <v>23</v>
      </c>
      <c r="G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</row>
    <row r="288" spans="1:23" s="50" customFormat="1" x14ac:dyDescent="0.25">
      <c r="A288" s="71"/>
      <c r="B288" s="74"/>
      <c r="C288" s="74"/>
      <c r="D288" s="43" t="s">
        <v>18</v>
      </c>
      <c r="E288" s="16" t="s">
        <v>17</v>
      </c>
      <c r="F288" s="19" t="s">
        <v>23</v>
      </c>
      <c r="G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</row>
    <row r="289" spans="1:23" s="50" customFormat="1" x14ac:dyDescent="0.25">
      <c r="A289" s="71"/>
      <c r="B289" s="74"/>
      <c r="C289" s="74"/>
      <c r="D289" s="81" t="s">
        <v>47</v>
      </c>
      <c r="E289" s="82"/>
      <c r="F289" s="83"/>
      <c r="G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</row>
    <row r="290" spans="1:23" s="50" customFormat="1" x14ac:dyDescent="0.25">
      <c r="A290" s="71"/>
      <c r="B290" s="74"/>
      <c r="C290" s="74"/>
      <c r="D290" s="49" t="s">
        <v>48</v>
      </c>
      <c r="E290" s="38" t="s">
        <v>17</v>
      </c>
      <c r="F290" s="39" t="s">
        <v>23</v>
      </c>
      <c r="G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</row>
    <row r="291" spans="1:23" s="50" customFormat="1" x14ac:dyDescent="0.25">
      <c r="A291" s="71"/>
      <c r="B291" s="74"/>
      <c r="C291" s="74"/>
      <c r="D291" s="49" t="s">
        <v>59</v>
      </c>
      <c r="E291" s="38" t="s">
        <v>17</v>
      </c>
      <c r="F291" s="39" t="s">
        <v>23</v>
      </c>
      <c r="G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</row>
    <row r="292" spans="1:23" s="50" customFormat="1" x14ac:dyDescent="0.25">
      <c r="A292" s="71"/>
      <c r="B292" s="74"/>
      <c r="C292" s="74"/>
      <c r="D292" s="49" t="s">
        <v>79</v>
      </c>
      <c r="E292" s="38" t="s">
        <v>17</v>
      </c>
      <c r="F292" s="39" t="s">
        <v>23</v>
      </c>
      <c r="G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</row>
    <row r="293" spans="1:23" s="50" customFormat="1" ht="39" x14ac:dyDescent="0.25">
      <c r="A293" s="71"/>
      <c r="B293" s="74"/>
      <c r="C293" s="74"/>
      <c r="D293" s="49" t="s">
        <v>61</v>
      </c>
      <c r="E293" s="38" t="s">
        <v>17</v>
      </c>
      <c r="F293" s="39" t="s">
        <v>23</v>
      </c>
      <c r="G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</row>
    <row r="294" spans="1:23" s="50" customFormat="1" x14ac:dyDescent="0.25">
      <c r="A294" s="71"/>
      <c r="B294" s="74"/>
      <c r="C294" s="74"/>
      <c r="D294" s="49" t="s">
        <v>52</v>
      </c>
      <c r="E294" s="38" t="s">
        <v>53</v>
      </c>
      <c r="F294" s="39" t="s">
        <v>23</v>
      </c>
      <c r="G294"/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</row>
    <row r="295" spans="1:23" s="50" customFormat="1" x14ac:dyDescent="0.25">
      <c r="A295" s="71"/>
      <c r="B295" s="74"/>
      <c r="C295" s="74"/>
      <c r="D295" s="37" t="s">
        <v>80</v>
      </c>
      <c r="E295" s="40" t="s">
        <v>17</v>
      </c>
      <c r="F295" s="39">
        <f>100000/40</f>
        <v>2500</v>
      </c>
      <c r="G295"/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</row>
    <row r="296" spans="1:23" s="50" customFormat="1" x14ac:dyDescent="0.25">
      <c r="A296" s="72"/>
      <c r="B296" s="75"/>
      <c r="C296" s="75"/>
      <c r="D296" s="49" t="s">
        <v>35</v>
      </c>
      <c r="E296" s="40" t="s">
        <v>17</v>
      </c>
      <c r="F296" s="39" t="s">
        <v>23</v>
      </c>
      <c r="G296"/>
      <c r="I296" s="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</row>
    <row r="300" spans="1:23" x14ac:dyDescent="0.25">
      <c r="H300" s="60"/>
      <c r="I300" s="6"/>
    </row>
  </sheetData>
  <mergeCells count="100">
    <mergeCell ref="A261:A296"/>
    <mergeCell ref="B261:B296"/>
    <mergeCell ref="C261:C296"/>
    <mergeCell ref="D261:F261"/>
    <mergeCell ref="D262:F262"/>
    <mergeCell ref="D266:F266"/>
    <mergeCell ref="D267:F267"/>
    <mergeCell ref="D271:F271"/>
    <mergeCell ref="D280:F280"/>
    <mergeCell ref="D282:F282"/>
    <mergeCell ref="D284:F284"/>
    <mergeCell ref="D289:F289"/>
    <mergeCell ref="A226:A260"/>
    <mergeCell ref="B226:B260"/>
    <mergeCell ref="C226:C260"/>
    <mergeCell ref="D226:F226"/>
    <mergeCell ref="D227:F227"/>
    <mergeCell ref="D231:F231"/>
    <mergeCell ref="D232:F232"/>
    <mergeCell ref="D236:F236"/>
    <mergeCell ref="D245:F245"/>
    <mergeCell ref="D247:F247"/>
    <mergeCell ref="D249:F249"/>
    <mergeCell ref="D253:F253"/>
    <mergeCell ref="D218:F218"/>
    <mergeCell ref="A190:A225"/>
    <mergeCell ref="B190:B225"/>
    <mergeCell ref="C190:C225"/>
    <mergeCell ref="D190:F190"/>
    <mergeCell ref="D191:F191"/>
    <mergeCell ref="D195:F195"/>
    <mergeCell ref="D196:F196"/>
    <mergeCell ref="D201:F201"/>
    <mergeCell ref="D210:F210"/>
    <mergeCell ref="D212:F212"/>
    <mergeCell ref="D214:F214"/>
    <mergeCell ref="D178:F178"/>
    <mergeCell ref="D182:F182"/>
    <mergeCell ref="A154:A189"/>
    <mergeCell ref="B154:B189"/>
    <mergeCell ref="C154:C189"/>
    <mergeCell ref="D154:F154"/>
    <mergeCell ref="D155:F155"/>
    <mergeCell ref="D159:F159"/>
    <mergeCell ref="D160:F160"/>
    <mergeCell ref="D165:F165"/>
    <mergeCell ref="D174:F174"/>
    <mergeCell ref="D176:F176"/>
    <mergeCell ref="D102:F102"/>
    <mergeCell ref="D104:F104"/>
    <mergeCell ref="D106:F106"/>
    <mergeCell ref="D110:F110"/>
    <mergeCell ref="D124:F124"/>
    <mergeCell ref="A118:A153"/>
    <mergeCell ref="B118:B153"/>
    <mergeCell ref="C118:C153"/>
    <mergeCell ref="D118:F118"/>
    <mergeCell ref="D119:F119"/>
    <mergeCell ref="D123:F123"/>
    <mergeCell ref="D146:F146"/>
    <mergeCell ref="D129:F129"/>
    <mergeCell ref="D138:F138"/>
    <mergeCell ref="D140:F140"/>
    <mergeCell ref="D142:F142"/>
    <mergeCell ref="D70:F70"/>
    <mergeCell ref="D74:F74"/>
    <mergeCell ref="A82:A117"/>
    <mergeCell ref="B82:B117"/>
    <mergeCell ref="C82:C117"/>
    <mergeCell ref="D82:F82"/>
    <mergeCell ref="D83:F83"/>
    <mergeCell ref="D87:F87"/>
    <mergeCell ref="D88:F88"/>
    <mergeCell ref="D93:F93"/>
    <mergeCell ref="A46:A81"/>
    <mergeCell ref="B46:B81"/>
    <mergeCell ref="C46:C81"/>
    <mergeCell ref="D46:F46"/>
    <mergeCell ref="D47:F47"/>
    <mergeCell ref="D51:F51"/>
    <mergeCell ref="D52:F52"/>
    <mergeCell ref="D57:F57"/>
    <mergeCell ref="D66:F66"/>
    <mergeCell ref="D68:F68"/>
    <mergeCell ref="D15:F15"/>
    <mergeCell ref="D19:F19"/>
    <mergeCell ref="D29:F29"/>
    <mergeCell ref="D31:F31"/>
    <mergeCell ref="D33:F33"/>
    <mergeCell ref="D37:F37"/>
    <mergeCell ref="E1:F1"/>
    <mergeCell ref="E2:F2"/>
    <mergeCell ref="A5:F5"/>
    <mergeCell ref="A6:F6"/>
    <mergeCell ref="A9:A45"/>
    <mergeCell ref="B9:B45"/>
    <mergeCell ref="C9:C45"/>
    <mergeCell ref="D9:F9"/>
    <mergeCell ref="D10:F10"/>
    <mergeCell ref="D14:F14"/>
  </mergeCells>
  <pageMargins left="0.14000000000000001" right="0.15748031496062992" top="0.33" bottom="0.35433070866141736" header="0.31496062992125984" footer="0.31496062992125984"/>
  <pageSetup paperSize="9" scale="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Павловская СОШ 2022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2020-03-19T04:27:00Z</cp:lastPrinted>
  <dcterms:created xsi:type="dcterms:W3CDTF">2020-03-18T17:33:14Z</dcterms:created>
  <dcterms:modified xsi:type="dcterms:W3CDTF">2023-03-15T02:24:20Z</dcterms:modified>
</cp:coreProperties>
</file>