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ая СОШ 2021" sheetId="1" r:id="rId1"/>
  </sheets>
  <calcPr calcId="145621"/>
</workbook>
</file>

<file path=xl/calcChain.xml><?xml version="1.0" encoding="utf-8"?>
<calcChain xmlns="http://schemas.openxmlformats.org/spreadsheetml/2006/main">
  <c r="F86" i="1" l="1"/>
  <c r="F109" i="1"/>
  <c r="F49" i="1"/>
  <c r="F12" i="1"/>
  <c r="F166" i="1"/>
  <c r="F130" i="1"/>
  <c r="F56" i="1"/>
  <c r="F93" i="1"/>
  <c r="F19" i="1"/>
  <c r="F165" i="1"/>
  <c r="F129" i="1"/>
  <c r="F92" i="1"/>
  <c r="F55" i="1"/>
  <c r="F18" i="1"/>
  <c r="F164" i="1"/>
  <c r="F128" i="1"/>
  <c r="F91" i="1"/>
  <c r="F54" i="1"/>
  <c r="F17" i="1"/>
  <c r="F163" i="1"/>
  <c r="F127" i="1"/>
  <c r="F90" i="1"/>
  <c r="F53" i="1"/>
  <c r="F16" i="1"/>
  <c r="F182" i="1" l="1"/>
  <c r="F146" i="1"/>
  <c r="F72" i="1"/>
  <c r="F35" i="1"/>
  <c r="F191" i="1" l="1"/>
  <c r="F189" i="1"/>
  <c r="F169" i="1"/>
  <c r="F168" i="1"/>
  <c r="F155" i="1"/>
  <c r="F153" i="1"/>
  <c r="F133" i="1"/>
  <c r="F132" i="1"/>
  <c r="F119" i="1"/>
  <c r="F118" i="1"/>
  <c r="F117" i="1"/>
  <c r="F115" i="1"/>
  <c r="F114" i="1"/>
  <c r="F113" i="1"/>
  <c r="F112" i="1"/>
  <c r="F102" i="1"/>
  <c r="F101" i="1"/>
  <c r="F100" i="1"/>
  <c r="F99" i="1"/>
  <c r="F98" i="1"/>
  <c r="F97" i="1"/>
  <c r="F96" i="1"/>
  <c r="F95" i="1"/>
  <c r="F82" i="1"/>
  <c r="F81" i="1"/>
  <c r="F80" i="1"/>
  <c r="F78" i="1"/>
  <c r="F77" i="1"/>
  <c r="F76" i="1"/>
  <c r="F75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94" i="1" l="1"/>
  <c r="F116" i="1"/>
  <c r="F106" i="1"/>
  <c r="F69" i="1"/>
  <c r="F50" i="1"/>
  <c r="F196" i="1" l="1"/>
  <c r="F183" i="1"/>
  <c r="F147" i="1"/>
  <c r="F110" i="1"/>
  <c r="F104" i="1"/>
  <c r="F87" i="1"/>
  <c r="F79" i="1"/>
  <c r="F73" i="1"/>
  <c r="F67" i="1"/>
  <c r="F36" i="1"/>
  <c r="F30" i="1"/>
  <c r="F13" i="1"/>
</calcChain>
</file>

<file path=xl/sharedStrings.xml><?xml version="1.0" encoding="utf-8"?>
<sst xmlns="http://schemas.openxmlformats.org/spreadsheetml/2006/main" count="558" uniqueCount="81">
  <si>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</si>
  <si>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</si>
  <si>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</si>
  <si>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</si>
  <si>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</si>
  <si>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</si>
  <si>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</si>
  <si>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</si>
  <si>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</si>
  <si>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</si>
  <si>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</si>
  <si>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</si>
  <si>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</si>
  <si>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</si>
  <si>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</si>
  <si>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</si>
  <si>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</si>
  <si>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</si>
  <si>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</si>
  <si>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</si>
  <si>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</si>
  <si>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</si>
  <si>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</si>
  <si>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</si>
  <si>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</si>
  <si>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</si>
  <si>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</si>
  <si>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</si>
  <si>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</si>
  <si>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</si>
  <si>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</si>
  <si>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</si>
  <si>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</si>
  <si>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</si>
  <si>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</si>
  <si>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</si>
  <si>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</si>
  <si>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</si>
  <si>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</si>
  <si>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</si>
  <si>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</si>
  <si>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</si>
  <si>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</si>
  <si>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</si>
  <si>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</si>
  <si>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</si>
  <si>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</si>
  <si>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</si>
  <si>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</si>
  <si>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</si>
  <si>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</si>
  <si>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</si>
  <si>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</si>
  <si>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</si>
  <si>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</si>
  <si>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</si>
  <si>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</si>
  <si>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</si>
  <si>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</si>
  <si>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</si>
  <si>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</si>
  <si>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</si>
  <si>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</si>
  <si>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</si>
  <si>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</si>
  <si>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</si>
  <si>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</si>
  <si>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</si>
  <si>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</si>
  <si>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</si>
  <si>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</si>
  <si>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</si>
  <si>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</si>
  <si>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</si>
  <si>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</si>
  <si>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</si>
  <si>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</si>
  <si>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МБОУ Степновская СОШ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</si>
  <si>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</si>
  <si>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</si>
  <si>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30.12.2022г. №44/14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</si>
</sst>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/>
    <xf numFmtId="4" fontId="12" fillId="0" borderId="0" xfId="4" applyNumberFormat="1" applyFont="1" applyBorder="1" applyAlignment="1">
      <alignment horizontal="right" vertical="top"/>
    </xf>
    <xf numFmtId="0" fontId="12" fillId="0" borderId="0" xfId="4" applyNumberFormat="1" applyFont="1" applyBorder="1" applyAlignment="1">
      <alignment horizontal="right" vertical="top"/>
    </xf>
    <xf numFmtId="2" fontId="0" fillId="0" borderId="0" xfId="0" applyNumberFormat="1" applyBorder="1"/>
    <xf numFmtId="0" fontId="4" fillId="0" borderId="4" xfId="0" applyFont="1" applyFill="1" applyBorder="1"/>
    <xf numFmtId="4" fontId="4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9"/>
  <sheetViews>
    <sheetView tabSelected="1" workbookViewId="0">
      <selection activeCell="C7" sqref="C7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6" t="s">
        <v>0</v>
      </c>
      <c r="F1" s="46"/>
      <c r="G1" s="3"/>
    </row>
    <row r="2" spans="1:12" ht="15.75" customHeight="1" x14ac:dyDescent="0.25">
      <c r="A2" s="1"/>
      <c r="B2" s="38"/>
      <c r="C2" s="38"/>
      <c r="D2" s="2"/>
      <c r="E2" s="46" t="s">
        <v>80</v>
      </c>
      <c r="F2" s="46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77</v>
      </c>
      <c r="B6" s="48"/>
      <c r="C6" s="48"/>
      <c r="D6" s="48"/>
      <c r="E6" s="48"/>
      <c r="F6" s="48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  <c r="H8" s="35"/>
    </row>
    <row r="9" spans="1:12" ht="27" customHeight="1" x14ac:dyDescent="0.25">
      <c r="A9" s="49" t="s">
        <v>8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5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5"/>
    </row>
    <row r="11" spans="1:12" x14ac:dyDescent="0.25">
      <c r="A11" s="50"/>
      <c r="B11" s="53"/>
      <c r="C11" s="53"/>
      <c r="D11" s="11" t="s">
        <v>13</v>
      </c>
      <c r="E11" s="12" t="s">
        <v>14</v>
      </c>
      <c r="F11" s="13">
        <v>47.81</v>
      </c>
      <c r="G11"/>
      <c r="H11" s="35"/>
    </row>
    <row r="12" spans="1:12" x14ac:dyDescent="0.25">
      <c r="A12" s="50"/>
      <c r="B12" s="53"/>
      <c r="C12" s="53"/>
      <c r="D12" s="14" t="s">
        <v>15</v>
      </c>
      <c r="E12" s="15" t="s">
        <v>16</v>
      </c>
      <c r="F12" s="13">
        <f>53696437.83*0.21/307</f>
        <v>36730.462359283389</v>
      </c>
      <c r="H12" s="40"/>
    </row>
    <row r="13" spans="1:12" x14ac:dyDescent="0.25">
      <c r="A13" s="50"/>
      <c r="B13" s="53"/>
      <c r="C13" s="53"/>
      <c r="D13" s="16" t="s">
        <v>17</v>
      </c>
      <c r="E13" s="15" t="s">
        <v>16</v>
      </c>
      <c r="F13" s="17">
        <f>F12*30.2%</f>
        <v>11092.599632503583</v>
      </c>
      <c r="G13"/>
      <c r="H13" s="41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2"/>
    </row>
    <row r="15" spans="1:12" x14ac:dyDescent="0.25">
      <c r="A15" s="50"/>
      <c r="B15" s="53"/>
      <c r="C15" s="53"/>
      <c r="D15" s="58" t="s">
        <v>19</v>
      </c>
      <c r="E15" s="58"/>
      <c r="F15" s="58"/>
      <c r="G15"/>
      <c r="H15" s="41"/>
    </row>
    <row r="16" spans="1:12" x14ac:dyDescent="0.25">
      <c r="A16" s="50"/>
      <c r="B16" s="53"/>
      <c r="C16" s="53"/>
      <c r="D16" s="18" t="s">
        <v>20</v>
      </c>
      <c r="E16" s="19" t="s">
        <v>21</v>
      </c>
      <c r="F16" s="20">
        <f>4025713.75*0.21/307</f>
        <v>2753.7455618892504</v>
      </c>
      <c r="G16"/>
      <c r="H16" s="41"/>
    </row>
    <row r="17" spans="1:8" x14ac:dyDescent="0.25">
      <c r="A17" s="50"/>
      <c r="B17" s="53"/>
      <c r="C17" s="53"/>
      <c r="D17" s="18" t="s">
        <v>22</v>
      </c>
      <c r="E17" s="19" t="s">
        <v>23</v>
      </c>
      <c r="F17" s="20">
        <f>4017170.05*0.21/307</f>
        <v>2747.9013371335504</v>
      </c>
      <c r="G17"/>
      <c r="H17" s="43"/>
    </row>
    <row r="18" spans="1:8" ht="15.75" x14ac:dyDescent="0.25">
      <c r="A18" s="50"/>
      <c r="B18" s="53"/>
      <c r="C18" s="53"/>
      <c r="D18" s="18" t="s">
        <v>24</v>
      </c>
      <c r="E18" s="19" t="s">
        <v>25</v>
      </c>
      <c r="F18" s="20">
        <f>271305.38*0.21/307</f>
        <v>185.58348469055375</v>
      </c>
      <c r="G18"/>
      <c r="H18" s="6"/>
    </row>
    <row r="19" spans="1:8" ht="15.75" x14ac:dyDescent="0.25">
      <c r="A19" s="50"/>
      <c r="B19" s="53"/>
      <c r="C19" s="53"/>
      <c r="D19" s="44" t="s">
        <v>78</v>
      </c>
      <c r="E19" s="19" t="s">
        <v>79</v>
      </c>
      <c r="F19" s="20">
        <f>46203.6*0.21/307</f>
        <v>31.605068403908792</v>
      </c>
      <c r="G19"/>
      <c r="H19" s="43"/>
    </row>
    <row r="20" spans="1:8" ht="27" customHeight="1" x14ac:dyDescent="0.25">
      <c r="A20" s="50"/>
      <c r="B20" s="53"/>
      <c r="C20" s="53"/>
      <c r="D20" s="55" t="s">
        <v>26</v>
      </c>
      <c r="E20" s="56"/>
      <c r="F20" s="57"/>
      <c r="G20"/>
      <c r="H20" s="43"/>
    </row>
    <row r="21" spans="1:8" x14ac:dyDescent="0.25">
      <c r="A21" s="50"/>
      <c r="B21" s="53"/>
      <c r="C21" s="53"/>
      <c r="D21" s="21" t="s">
        <v>27</v>
      </c>
      <c r="E21" s="22" t="s">
        <v>28</v>
      </c>
      <c r="F21" s="23">
        <f>25000*0.35/307</f>
        <v>28.501628664495115</v>
      </c>
      <c r="H21" s="43"/>
    </row>
    <row r="22" spans="1:8" x14ac:dyDescent="0.25">
      <c r="A22" s="50"/>
      <c r="B22" s="53"/>
      <c r="C22" s="53"/>
      <c r="D22" s="21" t="s">
        <v>29</v>
      </c>
      <c r="E22" s="22" t="s">
        <v>28</v>
      </c>
      <c r="F22" s="23">
        <f>(28800+1000+38276)*0.35/307</f>
        <v>77.611074918566771</v>
      </c>
    </row>
    <row r="23" spans="1:8" ht="25.5" x14ac:dyDescent="0.25">
      <c r="A23" s="50"/>
      <c r="B23" s="53"/>
      <c r="C23" s="53"/>
      <c r="D23" s="24" t="s">
        <v>30</v>
      </c>
      <c r="E23" s="7" t="s">
        <v>28</v>
      </c>
      <c r="F23" s="8">
        <f>0.44*(15000+6000)/307</f>
        <v>30.09771986970684</v>
      </c>
      <c r="G23"/>
    </row>
    <row r="24" spans="1:8" x14ac:dyDescent="0.25">
      <c r="A24" s="50"/>
      <c r="B24" s="53"/>
      <c r="C24" s="53"/>
      <c r="D24" s="24" t="s">
        <v>31</v>
      </c>
      <c r="E24" s="22" t="s">
        <v>28</v>
      </c>
      <c r="F24" s="13">
        <f>(32400+24398.96)*0.44/307</f>
        <v>81.405675570032571</v>
      </c>
      <c r="G24"/>
    </row>
    <row r="25" spans="1:8" ht="39" x14ac:dyDescent="0.25">
      <c r="A25" s="50"/>
      <c r="B25" s="53"/>
      <c r="C25" s="53"/>
      <c r="D25" s="25" t="s">
        <v>32</v>
      </c>
      <c r="E25" s="22" t="s">
        <v>28</v>
      </c>
      <c r="F25" s="13">
        <f>24000*0.44/307</f>
        <v>34.397394136807819</v>
      </c>
      <c r="G25"/>
    </row>
    <row r="26" spans="1:8" x14ac:dyDescent="0.25">
      <c r="A26" s="50"/>
      <c r="B26" s="53"/>
      <c r="C26" s="53"/>
      <c r="D26" s="24" t="s">
        <v>33</v>
      </c>
      <c r="E26" s="22" t="s">
        <v>28</v>
      </c>
      <c r="F26" s="13">
        <f>120000*0.44/307</f>
        <v>171.98697068403908</v>
      </c>
      <c r="G26"/>
    </row>
    <row r="27" spans="1:8" x14ac:dyDescent="0.25">
      <c r="A27" s="50"/>
      <c r="B27" s="53"/>
      <c r="C27" s="53"/>
      <c r="D27" s="24" t="s">
        <v>34</v>
      </c>
      <c r="E27" s="22" t="s">
        <v>28</v>
      </c>
      <c r="F27" s="13">
        <f>32000*0.44/307</f>
        <v>45.863192182410423</v>
      </c>
      <c r="G27"/>
    </row>
    <row r="28" spans="1:8" ht="26.25" x14ac:dyDescent="0.25">
      <c r="A28" s="50"/>
      <c r="B28" s="53"/>
      <c r="C28" s="53"/>
      <c r="D28" s="25" t="s">
        <v>35</v>
      </c>
      <c r="E28" s="22" t="s">
        <v>28</v>
      </c>
      <c r="F28" s="13">
        <f>17946.44*0.44/307</f>
        <v>25.72128208469055</v>
      </c>
      <c r="G28"/>
    </row>
    <row r="29" spans="1:8" ht="29.25" customHeight="1" x14ac:dyDescent="0.25">
      <c r="A29" s="50"/>
      <c r="B29" s="53"/>
      <c r="C29" s="53"/>
      <c r="D29" s="55" t="s">
        <v>36</v>
      </c>
      <c r="E29" s="56"/>
      <c r="F29" s="57"/>
      <c r="G29"/>
    </row>
    <row r="30" spans="1:8" x14ac:dyDescent="0.25">
      <c r="A30" s="50"/>
      <c r="B30" s="53"/>
      <c r="C30" s="53"/>
      <c r="D30" s="24" t="s">
        <v>37</v>
      </c>
      <c r="E30" s="26" t="s">
        <v>38</v>
      </c>
      <c r="F30" s="8">
        <f>10*0.44</f>
        <v>4.4000000000000004</v>
      </c>
      <c r="G30"/>
      <c r="H30" s="6"/>
    </row>
    <row r="31" spans="1:8" x14ac:dyDescent="0.25">
      <c r="A31" s="50"/>
      <c r="B31" s="53"/>
      <c r="C31" s="53"/>
      <c r="D31" s="55" t="s">
        <v>39</v>
      </c>
      <c r="E31" s="56"/>
      <c r="F31" s="57"/>
      <c r="G31"/>
    </row>
    <row r="32" spans="1:8" x14ac:dyDescent="0.25">
      <c r="A32" s="50"/>
      <c r="B32" s="53"/>
      <c r="C32" s="53"/>
      <c r="D32" s="27" t="s">
        <v>40</v>
      </c>
      <c r="E32" s="28" t="s">
        <v>28</v>
      </c>
      <c r="F32" s="8">
        <f>0.44*30000/307</f>
        <v>42.99674267100977</v>
      </c>
      <c r="G32"/>
    </row>
    <row r="33" spans="1:26" ht="30" customHeight="1" x14ac:dyDescent="0.25">
      <c r="A33" s="50"/>
      <c r="B33" s="53"/>
      <c r="C33" s="53"/>
      <c r="D33" s="58" t="s">
        <v>42</v>
      </c>
      <c r="E33" s="58"/>
      <c r="F33" s="58"/>
      <c r="G33"/>
    </row>
    <row r="34" spans="1:26" ht="26.25" x14ac:dyDescent="0.25">
      <c r="A34" s="50"/>
      <c r="B34" s="53"/>
      <c r="C34" s="53"/>
      <c r="D34" s="29" t="s">
        <v>43</v>
      </c>
      <c r="E34" s="22" t="s">
        <v>14</v>
      </c>
      <c r="F34" s="8">
        <v>18.899999999999999</v>
      </c>
      <c r="G34"/>
    </row>
    <row r="35" spans="1:26" x14ac:dyDescent="0.25">
      <c r="A35" s="50"/>
      <c r="B35" s="53"/>
      <c r="C35" s="53"/>
      <c r="D35" s="14" t="s">
        <v>15</v>
      </c>
      <c r="E35" s="15" t="s">
        <v>16</v>
      </c>
      <c r="F35" s="17">
        <f>14169689.5*0.21/307</f>
        <v>9692.6214820846908</v>
      </c>
      <c r="G35"/>
    </row>
    <row r="36" spans="1:26" x14ac:dyDescent="0.25">
      <c r="A36" s="50"/>
      <c r="B36" s="53"/>
      <c r="C36" s="53"/>
      <c r="D36" s="16" t="s">
        <v>17</v>
      </c>
      <c r="E36" s="15" t="s">
        <v>16</v>
      </c>
      <c r="F36" s="17">
        <f>F35*30.2%</f>
        <v>2927.1716875895763</v>
      </c>
      <c r="G36"/>
    </row>
    <row r="37" spans="1:26" x14ac:dyDescent="0.25">
      <c r="A37" s="50"/>
      <c r="B37" s="53"/>
      <c r="C37" s="53"/>
      <c r="D37" s="58" t="s">
        <v>44</v>
      </c>
      <c r="E37" s="58"/>
      <c r="F37" s="58"/>
      <c r="G37"/>
    </row>
    <row r="38" spans="1:26" x14ac:dyDescent="0.25">
      <c r="A38" s="50"/>
      <c r="B38" s="53"/>
      <c r="C38" s="53"/>
      <c r="D38" s="30" t="s">
        <v>45</v>
      </c>
      <c r="E38" s="31" t="s">
        <v>16</v>
      </c>
      <c r="F38" s="32">
        <f>(79500+10000)*0.44/307</f>
        <v>128.27361563517914</v>
      </c>
      <c r="G38"/>
    </row>
    <row r="39" spans="1:26" x14ac:dyDescent="0.25">
      <c r="A39" s="50"/>
      <c r="B39" s="53"/>
      <c r="C39" s="53"/>
      <c r="D39" s="30" t="s">
        <v>46</v>
      </c>
      <c r="E39" s="31" t="s">
        <v>16</v>
      </c>
      <c r="F39" s="32">
        <f>45000*0.44/307</f>
        <v>64.495114006514655</v>
      </c>
      <c r="G39"/>
    </row>
    <row r="40" spans="1:26" ht="18" customHeight="1" x14ac:dyDescent="0.25">
      <c r="A40" s="50"/>
      <c r="B40" s="53"/>
      <c r="C40" s="53"/>
      <c r="D40" s="30" t="s">
        <v>47</v>
      </c>
      <c r="E40" s="31" t="s">
        <v>16</v>
      </c>
      <c r="F40" s="32">
        <f>180000*0.44/307</f>
        <v>257.98045602605862</v>
      </c>
      <c r="G40"/>
    </row>
    <row r="41" spans="1:26" x14ac:dyDescent="0.25">
      <c r="A41" s="50"/>
      <c r="B41" s="53"/>
      <c r="C41" s="53"/>
      <c r="D41" s="33" t="s">
        <v>48</v>
      </c>
      <c r="E41" s="9" t="s">
        <v>16</v>
      </c>
      <c r="F41" s="32">
        <f>0.44*140990/307</f>
        <v>202.07035830618892</v>
      </c>
      <c r="G41"/>
    </row>
    <row r="42" spans="1:26" x14ac:dyDescent="0.25">
      <c r="A42" s="50"/>
      <c r="B42" s="53"/>
      <c r="C42" s="53"/>
      <c r="D42" s="30" t="s">
        <v>49</v>
      </c>
      <c r="E42" s="31" t="s">
        <v>50</v>
      </c>
      <c r="F42" s="17">
        <f>70*0.44</f>
        <v>30.8</v>
      </c>
      <c r="G42"/>
    </row>
    <row r="43" spans="1:26" x14ac:dyDescent="0.25">
      <c r="A43" s="50"/>
      <c r="B43" s="53"/>
      <c r="C43" s="53"/>
      <c r="D43" s="33" t="s">
        <v>51</v>
      </c>
      <c r="E43" s="34" t="s">
        <v>16</v>
      </c>
      <c r="F43" s="17">
        <f>0.44*(21500+3200+1150000)/307</f>
        <v>1683.6091205211726</v>
      </c>
      <c r="G43"/>
    </row>
    <row r="44" spans="1:26" ht="26.25" x14ac:dyDescent="0.25">
      <c r="A44" s="50"/>
      <c r="B44" s="53"/>
      <c r="C44" s="53"/>
      <c r="D44" s="30" t="s">
        <v>52</v>
      </c>
      <c r="E44" s="12" t="s">
        <v>16</v>
      </c>
      <c r="F44" s="32">
        <f>5000*0.44/307</f>
        <v>7.1661237785016283</v>
      </c>
      <c r="G44"/>
    </row>
    <row r="45" spans="1:26" x14ac:dyDescent="0.25">
      <c r="A45" s="51"/>
      <c r="B45" s="54"/>
      <c r="C45" s="54"/>
      <c r="D45" s="30" t="s">
        <v>33</v>
      </c>
      <c r="E45" s="12" t="s">
        <v>16</v>
      </c>
      <c r="F45" s="32">
        <f>(5000+37048+20116)*0.35/307</f>
        <v>70.871009771986962</v>
      </c>
      <c r="G45"/>
    </row>
    <row r="46" spans="1:26" s="35" customFormat="1" ht="22.5" customHeight="1" x14ac:dyDescent="0.25">
      <c r="A46" s="49" t="s">
        <v>53</v>
      </c>
      <c r="B46" s="52" t="s">
        <v>54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1" t="s">
        <v>13</v>
      </c>
      <c r="E48" s="12" t="s">
        <v>14</v>
      </c>
      <c r="F48" s="13">
        <v>47.81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4" t="s">
        <v>15</v>
      </c>
      <c r="E49" s="15" t="s">
        <v>16</v>
      </c>
      <c r="F49" s="13">
        <f>53696437.83*0.24/347</f>
        <v>37138.746625936597</v>
      </c>
      <c r="G49" s="6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x14ac:dyDescent="0.25">
      <c r="A50" s="50"/>
      <c r="B50" s="53"/>
      <c r="C50" s="53"/>
      <c r="D50" s="16" t="s">
        <v>17</v>
      </c>
      <c r="E50" s="15" t="s">
        <v>16</v>
      </c>
      <c r="F50" s="17">
        <f>F49*30.2%</f>
        <v>11215.901481032852</v>
      </c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58" t="s">
        <v>19</v>
      </c>
      <c r="E52" s="58"/>
      <c r="F52" s="58"/>
      <c r="G52"/>
      <c r="H52" s="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18" t="s">
        <v>20</v>
      </c>
      <c r="E53" s="19" t="s">
        <v>21</v>
      </c>
      <c r="F53" s="20">
        <f>4025713.75*0.24/347</f>
        <v>2784.3553314121036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x14ac:dyDescent="0.25">
      <c r="A54" s="50"/>
      <c r="B54" s="53"/>
      <c r="C54" s="53"/>
      <c r="D54" s="18" t="s">
        <v>22</v>
      </c>
      <c r="E54" s="19" t="s">
        <v>23</v>
      </c>
      <c r="F54" s="20">
        <f>4017170.05*0.24/347</f>
        <v>2778.4461440922187</v>
      </c>
      <c r="G54"/>
      <c r="H54" s="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15.75" x14ac:dyDescent="0.25">
      <c r="A55" s="50"/>
      <c r="B55" s="53"/>
      <c r="C55" s="53"/>
      <c r="D55" s="18" t="s">
        <v>24</v>
      </c>
      <c r="E55" s="19" t="s">
        <v>25</v>
      </c>
      <c r="F55" s="20">
        <f>271305.38*0.24/347</f>
        <v>187.64637233429394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.75" x14ac:dyDescent="0.25">
      <c r="A56" s="50"/>
      <c r="B56" s="53"/>
      <c r="C56" s="53"/>
      <c r="D56" s="44" t="s">
        <v>78</v>
      </c>
      <c r="E56" s="19" t="s">
        <v>79</v>
      </c>
      <c r="F56" s="20">
        <f>46203.6*0.24/347</f>
        <v>31.956380403458212</v>
      </c>
      <c r="G56"/>
      <c r="H56" s="43"/>
    </row>
    <row r="57" spans="1:26" s="35" customFormat="1" ht="29.2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50"/>
      <c r="B58" s="53"/>
      <c r="C58" s="53"/>
      <c r="D58" s="21" t="s">
        <v>27</v>
      </c>
      <c r="E58" s="22" t="s">
        <v>28</v>
      </c>
      <c r="F58" s="23">
        <f>25000*0.34/347</f>
        <v>24.495677233429394</v>
      </c>
      <c r="G58" s="6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0"/>
      <c r="B59" s="53"/>
      <c r="C59" s="53"/>
      <c r="D59" s="21" t="s">
        <v>29</v>
      </c>
      <c r="E59" s="22" t="s">
        <v>28</v>
      </c>
      <c r="F59" s="23">
        <f>(28800+1000+38276)*0.34/347</f>
        <v>66.702708933717574</v>
      </c>
      <c r="G59" s="6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25.5" x14ac:dyDescent="0.25">
      <c r="A60" s="50"/>
      <c r="B60" s="53"/>
      <c r="C60" s="53"/>
      <c r="D60" s="24" t="s">
        <v>30</v>
      </c>
      <c r="E60" s="7" t="s">
        <v>28</v>
      </c>
      <c r="F60" s="8">
        <f>0.46*(15000+6000)/347</f>
        <v>27.838616714697405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0"/>
      <c r="B61" s="53"/>
      <c r="C61" s="53"/>
      <c r="D61" s="24" t="s">
        <v>31</v>
      </c>
      <c r="E61" s="22" t="s">
        <v>28</v>
      </c>
      <c r="F61" s="13">
        <f>(32400+24398.96)*0.46/347</f>
        <v>75.295451296829967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ht="39" x14ac:dyDescent="0.25">
      <c r="A62" s="50"/>
      <c r="B62" s="53"/>
      <c r="C62" s="53"/>
      <c r="D62" s="25" t="s">
        <v>32</v>
      </c>
      <c r="E62" s="22" t="s">
        <v>28</v>
      </c>
      <c r="F62" s="13">
        <f>24000*0.46/347</f>
        <v>31.815561959654179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50"/>
      <c r="B63" s="53"/>
      <c r="C63" s="53"/>
      <c r="D63" s="24" t="s">
        <v>33</v>
      </c>
      <c r="E63" s="22" t="s">
        <v>28</v>
      </c>
      <c r="F63" s="13">
        <f>120000*0.46/347</f>
        <v>159.07780979827089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x14ac:dyDescent="0.25">
      <c r="A64" s="50"/>
      <c r="B64" s="53"/>
      <c r="C64" s="53"/>
      <c r="D64" s="24" t="s">
        <v>34</v>
      </c>
      <c r="E64" s="22" t="s">
        <v>28</v>
      </c>
      <c r="F64" s="13">
        <f>32000*0.46/347</f>
        <v>42.420749279538903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6.25" x14ac:dyDescent="0.25">
      <c r="A65" s="50"/>
      <c r="B65" s="53"/>
      <c r="C65" s="53"/>
      <c r="D65" s="25" t="s">
        <v>35</v>
      </c>
      <c r="E65" s="22" t="s">
        <v>28</v>
      </c>
      <c r="F65" s="13">
        <f>17946.44*0.46/347</f>
        <v>23.790669740634005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ht="29.25" customHeight="1" x14ac:dyDescent="0.25">
      <c r="A66" s="50"/>
      <c r="B66" s="53"/>
      <c r="C66" s="53"/>
      <c r="D66" s="55" t="s">
        <v>36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24" t="s">
        <v>37</v>
      </c>
      <c r="E67" s="26" t="s">
        <v>38</v>
      </c>
      <c r="F67" s="8">
        <f>10*0.46</f>
        <v>4.6000000000000005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50"/>
      <c r="B68" s="53"/>
      <c r="C68" s="53"/>
      <c r="D68" s="55" t="s">
        <v>39</v>
      </c>
      <c r="E68" s="56"/>
      <c r="F68" s="57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x14ac:dyDescent="0.25">
      <c r="A69" s="50"/>
      <c r="B69" s="53"/>
      <c r="C69" s="53"/>
      <c r="D69" s="27" t="s">
        <v>40</v>
      </c>
      <c r="E69" s="28" t="s">
        <v>28</v>
      </c>
      <c r="F69" s="8">
        <f>0.46*30000/107</f>
        <v>128.97196261682242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30" customHeight="1" x14ac:dyDescent="0.25">
      <c r="A70" s="50"/>
      <c r="B70" s="53"/>
      <c r="C70" s="53"/>
      <c r="D70" s="58" t="s">
        <v>42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ht="26.25" x14ac:dyDescent="0.25">
      <c r="A71" s="50"/>
      <c r="B71" s="53"/>
      <c r="C71" s="53"/>
      <c r="D71" s="29" t="s">
        <v>43</v>
      </c>
      <c r="E71" s="22" t="s">
        <v>14</v>
      </c>
      <c r="F71" s="8">
        <v>18.899999999999999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14" t="s">
        <v>15</v>
      </c>
      <c r="E72" s="15" t="s">
        <v>16</v>
      </c>
      <c r="F72" s="17">
        <f>14169689.5*0.24/347</f>
        <v>9800.3616138328525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16" t="s">
        <v>17</v>
      </c>
      <c r="E73" s="15" t="s">
        <v>16</v>
      </c>
      <c r="F73" s="17">
        <f>F72*30.2%</f>
        <v>2959.7092073775216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58" t="s">
        <v>44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0" t="s">
        <v>45</v>
      </c>
      <c r="E75" s="31" t="s">
        <v>16</v>
      </c>
      <c r="F75" s="32">
        <f>(79500+10000)*0.46/347</f>
        <v>118.64553314121038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0"/>
      <c r="B76" s="53"/>
      <c r="C76" s="53"/>
      <c r="D76" s="30" t="s">
        <v>46</v>
      </c>
      <c r="E76" s="31" t="s">
        <v>16</v>
      </c>
      <c r="F76" s="32">
        <f>45000*0.46/347</f>
        <v>59.654178674351584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0"/>
      <c r="B77" s="53"/>
      <c r="C77" s="53"/>
      <c r="D77" s="30" t="s">
        <v>47</v>
      </c>
      <c r="E77" s="31" t="s">
        <v>16</v>
      </c>
      <c r="F77" s="32">
        <f>180000*0.46/347</f>
        <v>238.61671469740634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48</v>
      </c>
      <c r="E78" s="9" t="s">
        <v>16</v>
      </c>
      <c r="F78" s="32">
        <f>0.46*140990/347</f>
        <v>186.90317002881844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x14ac:dyDescent="0.25">
      <c r="A79" s="50"/>
      <c r="B79" s="53"/>
      <c r="C79" s="53"/>
      <c r="D79" s="30" t="s">
        <v>49</v>
      </c>
      <c r="E79" s="31" t="s">
        <v>50</v>
      </c>
      <c r="F79" s="17">
        <f>70*0.46</f>
        <v>32.200000000000003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0"/>
      <c r="B80" s="53"/>
      <c r="C80" s="53"/>
      <c r="D80" s="33" t="s">
        <v>51</v>
      </c>
      <c r="E80" s="34" t="s">
        <v>16</v>
      </c>
      <c r="F80" s="17">
        <f>0.46*(21500+3200+1150000)/347</f>
        <v>1557.2391930835736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6.25" x14ac:dyDescent="0.25">
      <c r="A81" s="50"/>
      <c r="B81" s="53"/>
      <c r="C81" s="53"/>
      <c r="D81" s="30" t="s">
        <v>52</v>
      </c>
      <c r="E81" s="12" t="s">
        <v>16</v>
      </c>
      <c r="F81" s="32">
        <f>5000*0.46/347</f>
        <v>6.6282420749279538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x14ac:dyDescent="0.25">
      <c r="A82" s="51"/>
      <c r="B82" s="54"/>
      <c r="C82" s="54"/>
      <c r="D82" s="30" t="s">
        <v>33</v>
      </c>
      <c r="E82" s="12" t="s">
        <v>16</v>
      </c>
      <c r="F82" s="32">
        <f>(5000+37048+20116)*0.34/347</f>
        <v>60.909971181556202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21" customHeight="1" x14ac:dyDescent="0.25">
      <c r="A83" s="49" t="s">
        <v>55</v>
      </c>
      <c r="B83" s="52" t="s">
        <v>56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ht="15" customHeight="1" x14ac:dyDescent="0.25">
      <c r="A85" s="50"/>
      <c r="B85" s="53"/>
      <c r="C85" s="53"/>
      <c r="D85" s="11" t="s">
        <v>13</v>
      </c>
      <c r="E85" s="12" t="s">
        <v>14</v>
      </c>
      <c r="F85" s="13">
        <v>47.81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x14ac:dyDescent="0.25">
      <c r="A86" s="50"/>
      <c r="B86" s="53"/>
      <c r="C86" s="53"/>
      <c r="D86" s="14" t="s">
        <v>15</v>
      </c>
      <c r="E86" s="15" t="s">
        <v>16</v>
      </c>
      <c r="F86" s="13">
        <f>53696437.83*0.1/128</f>
        <v>41950.342054687499</v>
      </c>
      <c r="G86" s="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x14ac:dyDescent="0.25">
      <c r="A87" s="50"/>
      <c r="B87" s="53"/>
      <c r="C87" s="53"/>
      <c r="D87" s="16" t="s">
        <v>17</v>
      </c>
      <c r="E87" s="15" t="s">
        <v>16</v>
      </c>
      <c r="F87" s="17">
        <f>F86*30.2%</f>
        <v>12669.003300515624</v>
      </c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ht="15" customHeight="1" x14ac:dyDescent="0.25">
      <c r="A89" s="50"/>
      <c r="B89" s="53"/>
      <c r="C89" s="53"/>
      <c r="D89" s="58" t="s">
        <v>19</v>
      </c>
      <c r="E89" s="58"/>
      <c r="F89" s="58"/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x14ac:dyDescent="0.25">
      <c r="A90" s="50"/>
      <c r="B90" s="53"/>
      <c r="C90" s="53"/>
      <c r="D90" s="18" t="s">
        <v>20</v>
      </c>
      <c r="E90" s="19" t="s">
        <v>21</v>
      </c>
      <c r="F90" s="20">
        <f>4025713.75*0.09/128</f>
        <v>2830.5799804687499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x14ac:dyDescent="0.25">
      <c r="A91" s="50"/>
      <c r="B91" s="53"/>
      <c r="C91" s="53"/>
      <c r="D91" s="18" t="s">
        <v>22</v>
      </c>
      <c r="E91" s="19" t="s">
        <v>23</v>
      </c>
      <c r="F91" s="20">
        <f>4017170.05*0.09/128</f>
        <v>2824.5726914062498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.75" x14ac:dyDescent="0.25">
      <c r="A92" s="50"/>
      <c r="B92" s="53"/>
      <c r="C92" s="53"/>
      <c r="D92" s="18" t="s">
        <v>24</v>
      </c>
      <c r="E92" s="19" t="s">
        <v>25</v>
      </c>
      <c r="F92" s="20">
        <f>271305.38*0.09/128</f>
        <v>190.76159531249999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ht="15.75" x14ac:dyDescent="0.25">
      <c r="A93" s="50"/>
      <c r="B93" s="53"/>
      <c r="C93" s="53"/>
      <c r="D93" s="44" t="s">
        <v>78</v>
      </c>
      <c r="E93" s="19" t="s">
        <v>79</v>
      </c>
      <c r="F93" s="20">
        <f>46203.6*0.09/128</f>
        <v>32.486906249999997</v>
      </c>
      <c r="G93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ht="15" customHeight="1" x14ac:dyDescent="0.25">
      <c r="A95" s="50"/>
      <c r="B95" s="53"/>
      <c r="C95" s="53"/>
      <c r="D95" s="21" t="s">
        <v>27</v>
      </c>
      <c r="E95" s="22" t="s">
        <v>28</v>
      </c>
      <c r="F95" s="23">
        <f>25000*0.07/128</f>
        <v>13.671875000000002</v>
      </c>
      <c r="G95" s="6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x14ac:dyDescent="0.25">
      <c r="A96" s="50"/>
      <c r="B96" s="53"/>
      <c r="C96" s="53"/>
      <c r="D96" s="21" t="s">
        <v>29</v>
      </c>
      <c r="E96" s="22" t="s">
        <v>28</v>
      </c>
      <c r="F96" s="23">
        <f>(28800+1000+38276)*0.07/128</f>
        <v>37.229062500000005</v>
      </c>
      <c r="G96" s="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ht="25.5" x14ac:dyDescent="0.25">
      <c r="A97" s="50"/>
      <c r="B97" s="53"/>
      <c r="C97" s="53"/>
      <c r="D97" s="24" t="s">
        <v>30</v>
      </c>
      <c r="E97" s="7" t="s">
        <v>28</v>
      </c>
      <c r="F97" s="8">
        <f>0.1*(15000+6000)/128</f>
        <v>16.40625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0"/>
      <c r="B98" s="53"/>
      <c r="C98" s="53"/>
      <c r="D98" s="24" t="s">
        <v>31</v>
      </c>
      <c r="E98" s="22" t="s">
        <v>28</v>
      </c>
      <c r="F98" s="13">
        <f>(32400+24398.96)*0.1/128</f>
        <v>44.374187500000005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39" x14ac:dyDescent="0.25">
      <c r="A99" s="50"/>
      <c r="B99" s="53"/>
      <c r="C99" s="53"/>
      <c r="D99" s="25" t="s">
        <v>32</v>
      </c>
      <c r="E99" s="22" t="s">
        <v>28</v>
      </c>
      <c r="F99" s="13">
        <f>24000*0.1/128</f>
        <v>18.75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x14ac:dyDescent="0.25">
      <c r="A100" s="50"/>
      <c r="B100" s="53"/>
      <c r="C100" s="53"/>
      <c r="D100" s="24" t="s">
        <v>33</v>
      </c>
      <c r="E100" s="22" t="s">
        <v>28</v>
      </c>
      <c r="F100" s="13">
        <f>120000*0.1/128</f>
        <v>93.75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x14ac:dyDescent="0.25">
      <c r="A101" s="50"/>
      <c r="B101" s="53"/>
      <c r="C101" s="53"/>
      <c r="D101" s="24" t="s">
        <v>34</v>
      </c>
      <c r="E101" s="22" t="s">
        <v>28</v>
      </c>
      <c r="F101" s="13">
        <f>32000*0.1/128</f>
        <v>25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ht="26.25" x14ac:dyDescent="0.25">
      <c r="A102" s="50"/>
      <c r="B102" s="53"/>
      <c r="C102" s="53"/>
      <c r="D102" s="25" t="s">
        <v>35</v>
      </c>
      <c r="E102" s="22" t="s">
        <v>28</v>
      </c>
      <c r="F102" s="13">
        <f>17946.44*0.1/128</f>
        <v>14.02065625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ht="28.5" customHeight="1" x14ac:dyDescent="0.25">
      <c r="A103" s="50"/>
      <c r="B103" s="53"/>
      <c r="C103" s="53"/>
      <c r="D103" s="55" t="s">
        <v>36</v>
      </c>
      <c r="E103" s="56"/>
      <c r="F103" s="5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15" customHeight="1" x14ac:dyDescent="0.25">
      <c r="A104" s="50"/>
      <c r="B104" s="53"/>
      <c r="C104" s="53"/>
      <c r="D104" s="24" t="s">
        <v>37</v>
      </c>
      <c r="E104" s="26" t="s">
        <v>38</v>
      </c>
      <c r="F104" s="8">
        <f>10*0.1</f>
        <v>1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x14ac:dyDescent="0.25">
      <c r="A105" s="50"/>
      <c r="B105" s="53"/>
      <c r="C105" s="53"/>
      <c r="D105" s="55" t="s">
        <v>39</v>
      </c>
      <c r="E105" s="56"/>
      <c r="F105" s="5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0"/>
      <c r="B106" s="53"/>
      <c r="C106" s="53"/>
      <c r="D106" s="27" t="s">
        <v>40</v>
      </c>
      <c r="E106" s="28" t="s">
        <v>28</v>
      </c>
      <c r="F106" s="8">
        <f>30000*0.1/38</f>
        <v>78.94736842105263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ht="31.5" customHeight="1" x14ac:dyDescent="0.25">
      <c r="A107" s="50"/>
      <c r="B107" s="53"/>
      <c r="C107" s="53"/>
      <c r="D107" s="58" t="s">
        <v>42</v>
      </c>
      <c r="E107" s="58"/>
      <c r="F107" s="58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ht="15" customHeight="1" x14ac:dyDescent="0.25">
      <c r="A108" s="50"/>
      <c r="B108" s="53"/>
      <c r="C108" s="53"/>
      <c r="D108" s="29" t="s">
        <v>43</v>
      </c>
      <c r="E108" s="22" t="s">
        <v>14</v>
      </c>
      <c r="F108" s="8">
        <v>18.899999999999999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0"/>
      <c r="B109" s="53"/>
      <c r="C109" s="53"/>
      <c r="D109" s="14" t="s">
        <v>15</v>
      </c>
      <c r="E109" s="15" t="s">
        <v>16</v>
      </c>
      <c r="F109" s="17">
        <f>14169689.5*0.09/128</f>
        <v>9963.0629296874995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0"/>
      <c r="B110" s="53"/>
      <c r="C110" s="53"/>
      <c r="D110" s="16" t="s">
        <v>17</v>
      </c>
      <c r="E110" s="15" t="s">
        <v>16</v>
      </c>
      <c r="F110" s="17">
        <f>F109*30.2%</f>
        <v>3008.8450047656247</v>
      </c>
      <c r="G110"/>
      <c r="H110" s="6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0"/>
      <c r="B111" s="53"/>
      <c r="C111" s="53"/>
      <c r="D111" s="58" t="s">
        <v>44</v>
      </c>
      <c r="E111" s="58"/>
      <c r="F111" s="58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0"/>
      <c r="B112" s="53"/>
      <c r="C112" s="53"/>
      <c r="D112" s="30" t="s">
        <v>45</v>
      </c>
      <c r="E112" s="31" t="s">
        <v>16</v>
      </c>
      <c r="F112" s="32">
        <f>(79500+10000)*0.1/128</f>
        <v>69.921875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0"/>
      <c r="B113" s="53"/>
      <c r="C113" s="53"/>
      <c r="D113" s="30" t="s">
        <v>46</v>
      </c>
      <c r="E113" s="31" t="s">
        <v>16</v>
      </c>
      <c r="F113" s="32">
        <f>45000*0.1/128</f>
        <v>35.15625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0"/>
      <c r="B114" s="53"/>
      <c r="C114" s="53"/>
      <c r="D114" s="30" t="s">
        <v>47</v>
      </c>
      <c r="E114" s="31" t="s">
        <v>16</v>
      </c>
      <c r="F114" s="32">
        <f>180000*0.1/128</f>
        <v>140.625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x14ac:dyDescent="0.25">
      <c r="A115" s="50"/>
      <c r="B115" s="53"/>
      <c r="C115" s="53"/>
      <c r="D115" s="33" t="s">
        <v>48</v>
      </c>
      <c r="E115" s="9" t="s">
        <v>16</v>
      </c>
      <c r="F115" s="32">
        <f>0.1*140990/128</f>
        <v>110.1484375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0"/>
      <c r="B116" s="53"/>
      <c r="C116" s="53"/>
      <c r="D116" s="30" t="s">
        <v>49</v>
      </c>
      <c r="E116" s="31" t="s">
        <v>50</v>
      </c>
      <c r="F116" s="17">
        <f>70*0.1</f>
        <v>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x14ac:dyDescent="0.25">
      <c r="A117" s="50"/>
      <c r="B117" s="53"/>
      <c r="C117" s="53"/>
      <c r="D117" s="33" t="s">
        <v>51</v>
      </c>
      <c r="E117" s="34" t="s">
        <v>16</v>
      </c>
      <c r="F117" s="17">
        <f>0.1*(21500+3200+1150000)/128</f>
        <v>917.734375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ht="26.25" x14ac:dyDescent="0.25">
      <c r="A118" s="50"/>
      <c r="B118" s="53"/>
      <c r="C118" s="53"/>
      <c r="D118" s="30" t="s">
        <v>52</v>
      </c>
      <c r="E118" s="12" t="s">
        <v>16</v>
      </c>
      <c r="F118" s="32">
        <f>5000*0.1/128</f>
        <v>3.90625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1"/>
      <c r="B119" s="54"/>
      <c r="C119" s="54"/>
      <c r="D119" s="30" t="s">
        <v>33</v>
      </c>
      <c r="E119" s="12" t="s">
        <v>16</v>
      </c>
      <c r="F119" s="32">
        <f>(5000+37048+20116)*0.07/128</f>
        <v>33.995937500000004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ht="18" customHeight="1" x14ac:dyDescent="0.25">
      <c r="A120" s="49" t="s">
        <v>76</v>
      </c>
      <c r="B120" s="59" t="s">
        <v>57</v>
      </c>
      <c r="C120" s="52" t="s">
        <v>10</v>
      </c>
      <c r="D120" s="55" t="s">
        <v>11</v>
      </c>
      <c r="E120" s="56"/>
      <c r="F120" s="57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0"/>
      <c r="B121" s="60"/>
      <c r="C121" s="53"/>
      <c r="D121" s="58" t="s">
        <v>12</v>
      </c>
      <c r="E121" s="58"/>
      <c r="F121" s="58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0"/>
      <c r="B122" s="60"/>
      <c r="C122" s="53"/>
      <c r="D122" s="11" t="s">
        <v>13</v>
      </c>
      <c r="E122" s="12" t="s">
        <v>14</v>
      </c>
      <c r="F122" s="13" t="s">
        <v>58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0"/>
      <c r="B123" s="60"/>
      <c r="C123" s="53"/>
      <c r="D123" s="14" t="s">
        <v>15</v>
      </c>
      <c r="E123" s="15" t="s">
        <v>16</v>
      </c>
      <c r="F123" s="13" t="s">
        <v>58</v>
      </c>
      <c r="G123" s="6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0"/>
      <c r="B124" s="60"/>
      <c r="C124" s="53"/>
      <c r="D124" s="16" t="s">
        <v>17</v>
      </c>
      <c r="E124" s="15" t="s">
        <v>16</v>
      </c>
      <c r="F124" s="17" t="s">
        <v>58</v>
      </c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0"/>
      <c r="B125" s="60"/>
      <c r="C125" s="53"/>
      <c r="D125" s="55" t="s">
        <v>18</v>
      </c>
      <c r="E125" s="56"/>
      <c r="F125" s="57"/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0"/>
      <c r="B126" s="60"/>
      <c r="C126" s="53"/>
      <c r="D126" s="55" t="s">
        <v>19</v>
      </c>
      <c r="E126" s="56"/>
      <c r="F126" s="57"/>
      <c r="G126"/>
      <c r="H126" s="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x14ac:dyDescent="0.25">
      <c r="A127" s="50"/>
      <c r="B127" s="60"/>
      <c r="C127" s="53"/>
      <c r="D127" s="18" t="s">
        <v>20</v>
      </c>
      <c r="E127" s="19" t="s">
        <v>21</v>
      </c>
      <c r="F127" s="20">
        <f>4025713.75*0.45/673</f>
        <v>2691.784825408618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0"/>
      <c r="B128" s="60"/>
      <c r="C128" s="53"/>
      <c r="D128" s="18" t="s">
        <v>22</v>
      </c>
      <c r="E128" s="19" t="s">
        <v>23</v>
      </c>
      <c r="F128" s="20">
        <f>4017170.05*0.45/673</f>
        <v>2686.0720988112926</v>
      </c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0"/>
      <c r="B129" s="60"/>
      <c r="C129" s="53"/>
      <c r="D129" s="18" t="s">
        <v>24</v>
      </c>
      <c r="E129" s="19">
        <v>1596</v>
      </c>
      <c r="F129" s="20">
        <f>271305.38*0.45/673</f>
        <v>181.40775780089155</v>
      </c>
      <c r="G129"/>
      <c r="H129" s="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ht="15.75" x14ac:dyDescent="0.25">
      <c r="A130" s="50"/>
      <c r="B130" s="60"/>
      <c r="C130" s="53"/>
      <c r="D130" s="44" t="s">
        <v>78</v>
      </c>
      <c r="E130" s="19" t="s">
        <v>79</v>
      </c>
      <c r="F130" s="20">
        <f>46203.6*0.45/673</f>
        <v>30.893937592867754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ht="31.5" customHeight="1" x14ac:dyDescent="0.25">
      <c r="A131" s="50"/>
      <c r="B131" s="60"/>
      <c r="C131" s="53"/>
      <c r="D131" s="55" t="s">
        <v>26</v>
      </c>
      <c r="E131" s="56"/>
      <c r="F131" s="57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x14ac:dyDescent="0.25">
      <c r="A132" s="50"/>
      <c r="B132" s="60"/>
      <c r="C132" s="53"/>
      <c r="D132" s="21" t="s">
        <v>27</v>
      </c>
      <c r="E132" s="22" t="s">
        <v>28</v>
      </c>
      <c r="F132" s="23">
        <f>25000*0.09/673</f>
        <v>3.3432392273402676</v>
      </c>
      <c r="G132" s="6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0"/>
      <c r="B133" s="60"/>
      <c r="C133" s="53"/>
      <c r="D133" s="21" t="s">
        <v>29</v>
      </c>
      <c r="E133" s="22" t="s">
        <v>28</v>
      </c>
      <c r="F133" s="23">
        <f>(28800+1000+38276)*0.09/673</f>
        <v>9.1037741456166419</v>
      </c>
      <c r="G133" s="6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0"/>
      <c r="B134" s="60"/>
      <c r="C134" s="53"/>
      <c r="D134" s="24" t="s">
        <v>59</v>
      </c>
      <c r="E134" s="7" t="s">
        <v>60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x14ac:dyDescent="0.25">
      <c r="A135" s="50"/>
      <c r="B135" s="60"/>
      <c r="C135" s="53"/>
      <c r="D135" s="24" t="s">
        <v>31</v>
      </c>
      <c r="E135" s="22" t="s">
        <v>28</v>
      </c>
      <c r="F135" s="8" t="s">
        <v>58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9" x14ac:dyDescent="0.25">
      <c r="A136" s="50"/>
      <c r="B136" s="60"/>
      <c r="C136" s="53"/>
      <c r="D136" s="25" t="s">
        <v>32</v>
      </c>
      <c r="E136" s="22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0"/>
      <c r="B137" s="60"/>
      <c r="C137" s="53"/>
      <c r="D137" s="24" t="s">
        <v>33</v>
      </c>
      <c r="E137" s="22" t="s">
        <v>28</v>
      </c>
      <c r="F137" s="8" t="s">
        <v>58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0"/>
      <c r="B138" s="60"/>
      <c r="C138" s="53"/>
      <c r="D138" s="24" t="s">
        <v>34</v>
      </c>
      <c r="E138" s="22" t="s">
        <v>28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ht="26.25" x14ac:dyDescent="0.25">
      <c r="A139" s="50"/>
      <c r="B139" s="60"/>
      <c r="C139" s="53"/>
      <c r="D139" s="25" t="s">
        <v>61</v>
      </c>
      <c r="E139" s="22" t="s">
        <v>28</v>
      </c>
      <c r="F139" s="8" t="s">
        <v>58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1.5" customHeight="1" x14ac:dyDescent="0.25">
      <c r="A140" s="50"/>
      <c r="B140" s="60"/>
      <c r="C140" s="53"/>
      <c r="D140" s="55" t="s">
        <v>36</v>
      </c>
      <c r="E140" s="56"/>
      <c r="F140" s="5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x14ac:dyDescent="0.25">
      <c r="A141" s="50"/>
      <c r="B141" s="60"/>
      <c r="C141" s="53"/>
      <c r="D141" s="24" t="s">
        <v>37</v>
      </c>
      <c r="E141" s="26" t="s">
        <v>38</v>
      </c>
      <c r="F141" s="8" t="s">
        <v>58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0"/>
      <c r="B142" s="60"/>
      <c r="C142" s="53"/>
      <c r="D142" s="55" t="s">
        <v>39</v>
      </c>
      <c r="E142" s="56"/>
      <c r="F142" s="57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0"/>
      <c r="B143" s="60"/>
      <c r="C143" s="53"/>
      <c r="D143" s="27" t="s">
        <v>40</v>
      </c>
      <c r="E143" s="28" t="s">
        <v>41</v>
      </c>
      <c r="F143" s="8" t="s">
        <v>58</v>
      </c>
      <c r="G143"/>
      <c r="H143" s="6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ht="33.75" customHeight="1" x14ac:dyDescent="0.25">
      <c r="A144" s="50"/>
      <c r="B144" s="60"/>
      <c r="C144" s="53"/>
      <c r="D144" s="58" t="s">
        <v>42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ht="26.25" x14ac:dyDescent="0.25">
      <c r="A145" s="50"/>
      <c r="B145" s="60"/>
      <c r="C145" s="53"/>
      <c r="D145" s="29" t="s">
        <v>43</v>
      </c>
      <c r="E145" s="22" t="s">
        <v>14</v>
      </c>
      <c r="F145" s="8">
        <v>18.899999999999999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0"/>
      <c r="B146" s="60"/>
      <c r="C146" s="53"/>
      <c r="D146" s="14" t="s">
        <v>15</v>
      </c>
      <c r="E146" s="15" t="s">
        <v>16</v>
      </c>
      <c r="F146" s="17">
        <f>14169689.5*0.45/673</f>
        <v>9474.5323551263009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x14ac:dyDescent="0.25">
      <c r="A147" s="50"/>
      <c r="B147" s="60"/>
      <c r="C147" s="53"/>
      <c r="D147" s="16" t="s">
        <v>17</v>
      </c>
      <c r="E147" s="15" t="s">
        <v>16</v>
      </c>
      <c r="F147" s="17">
        <f>F146*30.2%</f>
        <v>2861.3087712481429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x14ac:dyDescent="0.25">
      <c r="A148" s="50"/>
      <c r="B148" s="60"/>
      <c r="C148" s="53"/>
      <c r="D148" s="58" t="s">
        <v>44</v>
      </c>
      <c r="E148" s="58"/>
      <c r="F148" s="5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0"/>
      <c r="B149" s="60"/>
      <c r="C149" s="53"/>
      <c r="D149" s="30" t="s">
        <v>45</v>
      </c>
      <c r="E149" s="31" t="s">
        <v>16</v>
      </c>
      <c r="F149" s="32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x14ac:dyDescent="0.25">
      <c r="A150" s="50"/>
      <c r="B150" s="60"/>
      <c r="C150" s="53"/>
      <c r="D150" s="30" t="s">
        <v>46</v>
      </c>
      <c r="E150" s="31" t="s">
        <v>16</v>
      </c>
      <c r="F150" s="32" t="s">
        <v>58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ht="26.25" x14ac:dyDescent="0.25">
      <c r="A151" s="50"/>
      <c r="B151" s="60"/>
      <c r="C151" s="53"/>
      <c r="D151" s="30" t="s">
        <v>62</v>
      </c>
      <c r="E151" s="31" t="s">
        <v>16</v>
      </c>
      <c r="F151" s="32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ht="39" x14ac:dyDescent="0.25">
      <c r="A152" s="50"/>
      <c r="B152" s="60"/>
      <c r="C152" s="53"/>
      <c r="D152" s="30" t="s">
        <v>63</v>
      </c>
      <c r="E152" s="31" t="s">
        <v>16</v>
      </c>
      <c r="F152" s="32" t="s">
        <v>58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0"/>
      <c r="B153" s="60"/>
      <c r="C153" s="53"/>
      <c r="D153" s="30" t="s">
        <v>64</v>
      </c>
      <c r="E153" s="12" t="s">
        <v>16</v>
      </c>
      <c r="F153" s="32">
        <f>1272300*0.44/673</f>
        <v>831.81575037147104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ht="26.25" x14ac:dyDescent="0.25">
      <c r="A154" s="50"/>
      <c r="B154" s="60"/>
      <c r="C154" s="53"/>
      <c r="D154" s="30" t="s">
        <v>52</v>
      </c>
      <c r="E154" s="12" t="s">
        <v>16</v>
      </c>
      <c r="F154" s="32" t="s">
        <v>58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1"/>
      <c r="B155" s="61"/>
      <c r="C155" s="54"/>
      <c r="D155" s="30" t="s">
        <v>33</v>
      </c>
      <c r="E155" s="12" t="s">
        <v>16</v>
      </c>
      <c r="F155" s="32">
        <f>37048*0.09/673</f>
        <v>4.9544130757800886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49" t="s">
        <v>75</v>
      </c>
      <c r="B156" s="59" t="s">
        <v>65</v>
      </c>
      <c r="C156" s="52" t="s">
        <v>10</v>
      </c>
      <c r="D156" s="55" t="s">
        <v>11</v>
      </c>
      <c r="E156" s="56"/>
      <c r="F156" s="57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x14ac:dyDescent="0.25">
      <c r="A157" s="50"/>
      <c r="B157" s="60"/>
      <c r="C157" s="53"/>
      <c r="D157" s="58" t="s">
        <v>12</v>
      </c>
      <c r="E157" s="58"/>
      <c r="F157" s="58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0"/>
      <c r="B158" s="60"/>
      <c r="C158" s="53"/>
      <c r="D158" s="11" t="s">
        <v>13</v>
      </c>
      <c r="E158" s="12" t="s">
        <v>14</v>
      </c>
      <c r="F158" s="13" t="s">
        <v>58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0"/>
      <c r="B159" s="60"/>
      <c r="C159" s="53"/>
      <c r="D159" s="14" t="s">
        <v>15</v>
      </c>
      <c r="E159" s="15" t="s">
        <v>16</v>
      </c>
      <c r="F159" s="13" t="s">
        <v>58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0"/>
      <c r="B160" s="60"/>
      <c r="C160" s="53"/>
      <c r="D160" s="16" t="s">
        <v>17</v>
      </c>
      <c r="E160" s="15" t="s">
        <v>16</v>
      </c>
      <c r="F160" s="17" t="s">
        <v>58</v>
      </c>
      <c r="G160" s="6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ht="15" customHeight="1" x14ac:dyDescent="0.25">
      <c r="A161" s="50"/>
      <c r="B161" s="60"/>
      <c r="C161" s="53"/>
      <c r="D161" s="55" t="s">
        <v>18</v>
      </c>
      <c r="E161" s="56"/>
      <c r="F161" s="57"/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x14ac:dyDescent="0.25">
      <c r="A162" s="50"/>
      <c r="B162" s="60"/>
      <c r="C162" s="53"/>
      <c r="D162" s="55" t="s">
        <v>19</v>
      </c>
      <c r="E162" s="56"/>
      <c r="F162" s="57"/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0"/>
      <c r="B163" s="60"/>
      <c r="C163" s="53"/>
      <c r="D163" s="18" t="s">
        <v>20</v>
      </c>
      <c r="E163" s="19" t="s">
        <v>21</v>
      </c>
      <c r="F163" s="20">
        <f>4025713.75*0.01/17</f>
        <v>2368.0669117647062</v>
      </c>
      <c r="G163"/>
      <c r="H163" s="6"/>
      <c r="I163"/>
      <c r="J163"/>
      <c r="K163"/>
      <c r="L163"/>
      <c r="M163" s="6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0"/>
      <c r="B164" s="60"/>
      <c r="C164" s="53"/>
      <c r="D164" s="18" t="s">
        <v>22</v>
      </c>
      <c r="E164" s="19" t="s">
        <v>23</v>
      </c>
      <c r="F164" s="20">
        <f>4017170.05*0.01/17</f>
        <v>2363.0412058823531</v>
      </c>
      <c r="G164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0"/>
      <c r="B165" s="60"/>
      <c r="C165" s="53"/>
      <c r="D165" s="18" t="s">
        <v>24</v>
      </c>
      <c r="E165" s="19">
        <v>1596</v>
      </c>
      <c r="F165" s="20">
        <f>271305.38*0.01/17</f>
        <v>159.59140000000002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ht="15.75" x14ac:dyDescent="0.25">
      <c r="A166" s="50"/>
      <c r="B166" s="60"/>
      <c r="C166" s="53"/>
      <c r="D166" s="44" t="s">
        <v>78</v>
      </c>
      <c r="E166" s="19" t="s">
        <v>79</v>
      </c>
      <c r="F166" s="20">
        <f>46203.6*0.01/17</f>
        <v>27.178588235294118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25.5" customHeight="1" x14ac:dyDescent="0.25">
      <c r="A167" s="50"/>
      <c r="B167" s="60"/>
      <c r="C167" s="53"/>
      <c r="D167" s="55" t="s">
        <v>26</v>
      </c>
      <c r="E167" s="56"/>
      <c r="F167" s="5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0"/>
      <c r="B168" s="60"/>
      <c r="C168" s="53"/>
      <c r="D168" s="21" t="s">
        <v>27</v>
      </c>
      <c r="E168" s="22" t="s">
        <v>28</v>
      </c>
      <c r="F168" s="23">
        <f>25000*0.12/17</f>
        <v>176.47058823529412</v>
      </c>
      <c r="G168" s="6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0"/>
      <c r="B169" s="60"/>
      <c r="C169" s="53"/>
      <c r="D169" s="21" t="s">
        <v>29</v>
      </c>
      <c r="E169" s="22" t="s">
        <v>28</v>
      </c>
      <c r="F169" s="23">
        <f>(28800+1000+38276)*0.12/17</f>
        <v>480.53647058823526</v>
      </c>
      <c r="G169" s="6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x14ac:dyDescent="0.25">
      <c r="A170" s="50"/>
      <c r="B170" s="60"/>
      <c r="C170" s="53"/>
      <c r="D170" s="24" t="s">
        <v>59</v>
      </c>
      <c r="E170" s="7" t="s">
        <v>60</v>
      </c>
      <c r="F170" s="8" t="s">
        <v>58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x14ac:dyDescent="0.25">
      <c r="A171" s="50"/>
      <c r="B171" s="60"/>
      <c r="C171" s="53"/>
      <c r="D171" s="24" t="s">
        <v>31</v>
      </c>
      <c r="E171" s="22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ht="39" x14ac:dyDescent="0.25">
      <c r="A172" s="50"/>
      <c r="B172" s="60"/>
      <c r="C172" s="53"/>
      <c r="D172" s="25" t="s">
        <v>32</v>
      </c>
      <c r="E172" s="22" t="s">
        <v>28</v>
      </c>
      <c r="F172" s="8" t="s">
        <v>58</v>
      </c>
      <c r="G172"/>
      <c r="H172" s="6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0"/>
      <c r="B173" s="60"/>
      <c r="C173" s="53"/>
      <c r="D173" s="24" t="s">
        <v>33</v>
      </c>
      <c r="E173" s="22" t="s">
        <v>28</v>
      </c>
      <c r="F173" s="8" t="s">
        <v>58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0"/>
      <c r="B174" s="60"/>
      <c r="C174" s="53"/>
      <c r="D174" s="24" t="s">
        <v>34</v>
      </c>
      <c r="E174" s="22" t="s">
        <v>28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6.25" x14ac:dyDescent="0.25">
      <c r="A175" s="50"/>
      <c r="B175" s="60"/>
      <c r="C175" s="53"/>
      <c r="D175" s="25" t="s">
        <v>61</v>
      </c>
      <c r="E175" s="22" t="s">
        <v>28</v>
      </c>
      <c r="F175" s="8" t="s">
        <v>58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4" customHeight="1" x14ac:dyDescent="0.25">
      <c r="A176" s="50"/>
      <c r="B176" s="60"/>
      <c r="C176" s="53"/>
      <c r="D176" s="55" t="s">
        <v>36</v>
      </c>
      <c r="E176" s="56"/>
      <c r="F176" s="57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0"/>
      <c r="B177" s="60"/>
      <c r="C177" s="53"/>
      <c r="D177" s="24" t="s">
        <v>37</v>
      </c>
      <c r="E177" s="26" t="s">
        <v>38</v>
      </c>
      <c r="F177" s="8" t="s">
        <v>58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0"/>
      <c r="B178" s="60"/>
      <c r="C178" s="53"/>
      <c r="D178" s="55" t="s">
        <v>39</v>
      </c>
      <c r="E178" s="56"/>
      <c r="F178" s="57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0"/>
      <c r="B179" s="60"/>
      <c r="C179" s="53"/>
      <c r="D179" s="27" t="s">
        <v>40</v>
      </c>
      <c r="E179" s="28" t="s">
        <v>41</v>
      </c>
      <c r="F179" s="8" t="s">
        <v>58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ht="22.5" customHeight="1" x14ac:dyDescent="0.25">
      <c r="A180" s="50"/>
      <c r="B180" s="60"/>
      <c r="C180" s="53"/>
      <c r="D180" s="58" t="s">
        <v>42</v>
      </c>
      <c r="E180" s="58"/>
      <c r="F180" s="58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ht="26.25" x14ac:dyDescent="0.25">
      <c r="A181" s="50"/>
      <c r="B181" s="60"/>
      <c r="C181" s="53"/>
      <c r="D181" s="29" t="s">
        <v>43</v>
      </c>
      <c r="E181" s="22" t="s">
        <v>14</v>
      </c>
      <c r="F181" s="8">
        <v>18.899999999999999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x14ac:dyDescent="0.25">
      <c r="A182" s="50"/>
      <c r="B182" s="60"/>
      <c r="C182" s="53"/>
      <c r="D182" s="14" t="s">
        <v>15</v>
      </c>
      <c r="E182" s="15" t="s">
        <v>16</v>
      </c>
      <c r="F182" s="17">
        <f>14169689.5*0.01/17</f>
        <v>8335.1114705882355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x14ac:dyDescent="0.25">
      <c r="A183" s="50"/>
      <c r="B183" s="60"/>
      <c r="C183" s="53"/>
      <c r="D183" s="16" t="s">
        <v>17</v>
      </c>
      <c r="E183" s="15" t="s">
        <v>16</v>
      </c>
      <c r="F183" s="17">
        <f>F182*30.2%</f>
        <v>2517.2036641176469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0"/>
      <c r="B184" s="60"/>
      <c r="C184" s="53"/>
      <c r="D184" s="58" t="s">
        <v>44</v>
      </c>
      <c r="E184" s="58"/>
      <c r="F184" s="58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x14ac:dyDescent="0.25">
      <c r="A185" s="50"/>
      <c r="B185" s="60"/>
      <c r="C185" s="53"/>
      <c r="D185" s="30" t="s">
        <v>45</v>
      </c>
      <c r="E185" s="31" t="s">
        <v>16</v>
      </c>
      <c r="F185" s="32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0"/>
      <c r="B186" s="60"/>
      <c r="C186" s="53"/>
      <c r="D186" s="30" t="s">
        <v>46</v>
      </c>
      <c r="E186" s="31" t="s">
        <v>16</v>
      </c>
      <c r="F186" s="32" t="s">
        <v>58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26.25" x14ac:dyDescent="0.25">
      <c r="A187" s="50"/>
      <c r="B187" s="60"/>
      <c r="C187" s="53"/>
      <c r="D187" s="30" t="s">
        <v>62</v>
      </c>
      <c r="E187" s="31" t="s">
        <v>16</v>
      </c>
      <c r="F187" s="32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ht="39" x14ac:dyDescent="0.25">
      <c r="A188" s="50"/>
      <c r="B188" s="60"/>
      <c r="C188" s="53"/>
      <c r="D188" s="30" t="s">
        <v>63</v>
      </c>
      <c r="E188" s="31" t="s">
        <v>16</v>
      </c>
      <c r="F188" s="32" t="s">
        <v>58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0"/>
      <c r="B189" s="60"/>
      <c r="C189" s="53"/>
      <c r="D189" s="30" t="s">
        <v>64</v>
      </c>
      <c r="E189" s="12" t="s">
        <v>16</v>
      </c>
      <c r="F189" s="32">
        <f>1272300*0.46/17</f>
        <v>34426.941176470587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ht="26.25" x14ac:dyDescent="0.25">
      <c r="A190" s="50"/>
      <c r="B190" s="60"/>
      <c r="C190" s="53"/>
      <c r="D190" s="30" t="s">
        <v>52</v>
      </c>
      <c r="E190" s="12" t="s">
        <v>16</v>
      </c>
      <c r="F190" s="32" t="s">
        <v>58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1"/>
      <c r="B191" s="61"/>
      <c r="C191" s="54"/>
      <c r="D191" s="30" t="s">
        <v>33</v>
      </c>
      <c r="E191" s="12" t="s">
        <v>16</v>
      </c>
      <c r="F191" s="32">
        <f>37048*0.12/17</f>
        <v>261.51529411764704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ht="30.75" customHeight="1" x14ac:dyDescent="0.25">
      <c r="A192" s="49" t="s">
        <v>66</v>
      </c>
      <c r="B192" s="52" t="s">
        <v>67</v>
      </c>
      <c r="C192" s="52" t="s">
        <v>10</v>
      </c>
      <c r="D192" s="55" t="s">
        <v>11</v>
      </c>
      <c r="E192" s="56"/>
      <c r="F192" s="57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0"/>
      <c r="B193" s="53"/>
      <c r="C193" s="53"/>
      <c r="D193" s="58" t="s">
        <v>12</v>
      </c>
      <c r="E193" s="58"/>
      <c r="F193" s="58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0"/>
      <c r="B194" s="53"/>
      <c r="C194" s="53"/>
      <c r="D194" s="11" t="s">
        <v>68</v>
      </c>
      <c r="E194" s="12" t="s">
        <v>14</v>
      </c>
      <c r="F194" s="13">
        <f>46.9</f>
        <v>46.9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0"/>
      <c r="B195" s="53"/>
      <c r="C195" s="53"/>
      <c r="D195" s="14" t="s">
        <v>15</v>
      </c>
      <c r="E195" s="15" t="s">
        <v>16</v>
      </c>
      <c r="F195" s="45">
        <v>4596.96</v>
      </c>
      <c r="G195" s="6"/>
      <c r="H195" s="6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x14ac:dyDescent="0.25">
      <c r="A196" s="50"/>
      <c r="B196" s="53"/>
      <c r="C196" s="53"/>
      <c r="D196" s="16" t="s">
        <v>17</v>
      </c>
      <c r="E196" s="15" t="s">
        <v>16</v>
      </c>
      <c r="F196" s="17">
        <f>F195*30.2%</f>
        <v>1388.2819199999999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x14ac:dyDescent="0.25">
      <c r="A197" s="50"/>
      <c r="B197" s="53"/>
      <c r="C197" s="53"/>
      <c r="D197" s="55" t="s">
        <v>18</v>
      </c>
      <c r="E197" s="56"/>
      <c r="F197" s="5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0"/>
      <c r="B198" s="53"/>
      <c r="C198" s="53"/>
      <c r="D198" s="55" t="s">
        <v>19</v>
      </c>
      <c r="E198" s="56"/>
      <c r="F198" s="57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0"/>
      <c r="B199" s="53"/>
      <c r="C199" s="53"/>
      <c r="D199" s="18" t="s">
        <v>20</v>
      </c>
      <c r="E199" s="19" t="s">
        <v>21</v>
      </c>
      <c r="F199" s="20" t="s">
        <v>58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0"/>
      <c r="B200" s="53"/>
      <c r="C200" s="53"/>
      <c r="D200" s="18" t="s">
        <v>22</v>
      </c>
      <c r="E200" s="19" t="s">
        <v>23</v>
      </c>
      <c r="F200" s="20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ht="15.75" x14ac:dyDescent="0.25">
      <c r="A201" s="50"/>
      <c r="B201" s="53"/>
      <c r="C201" s="53"/>
      <c r="D201" s="18" t="s">
        <v>24</v>
      </c>
      <c r="E201" s="19" t="s">
        <v>25</v>
      </c>
      <c r="F201" s="20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7.5" customHeight="1" x14ac:dyDescent="0.25">
      <c r="A202" s="50"/>
      <c r="B202" s="53"/>
      <c r="C202" s="53"/>
      <c r="D202" s="55" t="s">
        <v>26</v>
      </c>
      <c r="E202" s="56"/>
      <c r="F202" s="57"/>
      <c r="G202"/>
      <c r="H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0"/>
      <c r="B203" s="53"/>
      <c r="C203" s="53"/>
      <c r="D203" s="21" t="s">
        <v>27</v>
      </c>
      <c r="E203" s="22" t="s">
        <v>28</v>
      </c>
      <c r="F203" s="23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0"/>
      <c r="B204" s="53"/>
      <c r="C204" s="53"/>
      <c r="D204" s="21" t="s">
        <v>29</v>
      </c>
      <c r="E204" s="22" t="s">
        <v>28</v>
      </c>
      <c r="F204" s="23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x14ac:dyDescent="0.25">
      <c r="A205" s="50"/>
      <c r="B205" s="53"/>
      <c r="C205" s="53"/>
      <c r="D205" s="24" t="s">
        <v>59</v>
      </c>
      <c r="E205" s="7" t="s">
        <v>60</v>
      </c>
      <c r="F205" s="23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x14ac:dyDescent="0.25">
      <c r="A206" s="50"/>
      <c r="B206" s="53"/>
      <c r="C206" s="53"/>
      <c r="D206" s="24" t="s">
        <v>31</v>
      </c>
      <c r="E206" s="22" t="s">
        <v>28</v>
      </c>
      <c r="F206" s="23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ht="39" x14ac:dyDescent="0.25">
      <c r="A207" s="50"/>
      <c r="B207" s="53"/>
      <c r="C207" s="53"/>
      <c r="D207" s="25" t="s">
        <v>32</v>
      </c>
      <c r="E207" s="22" t="s">
        <v>28</v>
      </c>
      <c r="F207" s="23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0"/>
      <c r="B208" s="53"/>
      <c r="C208" s="53"/>
      <c r="D208" s="24" t="s">
        <v>33</v>
      </c>
      <c r="E208" s="22" t="s">
        <v>28</v>
      </c>
      <c r="F208" s="23" t="s">
        <v>58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0"/>
      <c r="B209" s="53"/>
      <c r="C209" s="53"/>
      <c r="D209" s="24" t="s">
        <v>34</v>
      </c>
      <c r="E209" s="22" t="s">
        <v>28</v>
      </c>
      <c r="F209" s="23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x14ac:dyDescent="0.25">
      <c r="A210" s="50"/>
      <c r="B210" s="53"/>
      <c r="C210" s="53"/>
      <c r="D210" s="25" t="s">
        <v>61</v>
      </c>
      <c r="E210" s="22" t="s">
        <v>28</v>
      </c>
      <c r="F210" s="23" t="s">
        <v>58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5" customFormat="1" ht="26.25" customHeight="1" x14ac:dyDescent="0.25">
      <c r="A211" s="50"/>
      <c r="B211" s="53"/>
      <c r="C211" s="53"/>
      <c r="D211" s="55" t="s">
        <v>36</v>
      </c>
      <c r="E211" s="56"/>
      <c r="F211" s="57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5" customFormat="1" x14ac:dyDescent="0.25">
      <c r="A212" s="50"/>
      <c r="B212" s="53"/>
      <c r="C212" s="53"/>
      <c r="D212" s="24" t="s">
        <v>37</v>
      </c>
      <c r="E212" s="26" t="s">
        <v>38</v>
      </c>
      <c r="F212" s="8" t="s">
        <v>58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5" customFormat="1" x14ac:dyDescent="0.25">
      <c r="A213" s="50"/>
      <c r="B213" s="53"/>
      <c r="C213" s="53"/>
      <c r="D213" s="55" t="s">
        <v>39</v>
      </c>
      <c r="E213" s="56"/>
      <c r="F213" s="5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5" customFormat="1" x14ac:dyDescent="0.25">
      <c r="A214" s="50"/>
      <c r="B214" s="53"/>
      <c r="C214" s="53"/>
      <c r="D214" s="27" t="s">
        <v>40</v>
      </c>
      <c r="E214" s="28" t="s">
        <v>41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5" customFormat="1" ht="26.25" customHeight="1" x14ac:dyDescent="0.25">
      <c r="A215" s="50"/>
      <c r="B215" s="53"/>
      <c r="C215" s="53"/>
      <c r="D215" s="58" t="s">
        <v>42</v>
      </c>
      <c r="E215" s="58"/>
      <c r="F215" s="58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ht="26.25" x14ac:dyDescent="0.25">
      <c r="A216" s="50"/>
      <c r="B216" s="53"/>
      <c r="C216" s="53"/>
      <c r="D216" s="29" t="s">
        <v>43</v>
      </c>
      <c r="E216" s="22" t="s">
        <v>14</v>
      </c>
      <c r="F216" s="8" t="s">
        <v>58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x14ac:dyDescent="0.25">
      <c r="A217" s="50"/>
      <c r="B217" s="53"/>
      <c r="C217" s="53"/>
      <c r="D217" s="14" t="s">
        <v>15</v>
      </c>
      <c r="E217" s="15" t="s">
        <v>16</v>
      </c>
      <c r="F217" s="17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x14ac:dyDescent="0.25">
      <c r="A218" s="50"/>
      <c r="B218" s="53"/>
      <c r="C218" s="53"/>
      <c r="D218" s="16" t="s">
        <v>17</v>
      </c>
      <c r="E218" s="15" t="s">
        <v>16</v>
      </c>
      <c r="F218" s="17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0"/>
      <c r="B219" s="53"/>
      <c r="C219" s="53"/>
      <c r="D219" s="58" t="s">
        <v>44</v>
      </c>
      <c r="E219" s="58"/>
      <c r="F219" s="58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x14ac:dyDescent="0.25">
      <c r="A220" s="50"/>
      <c r="B220" s="53"/>
      <c r="C220" s="53"/>
      <c r="D220" s="30" t="s">
        <v>45</v>
      </c>
      <c r="E220" s="31" t="s">
        <v>16</v>
      </c>
      <c r="F220" s="32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0"/>
      <c r="B221" s="53"/>
      <c r="C221" s="53"/>
      <c r="D221" s="30" t="s">
        <v>46</v>
      </c>
      <c r="E221" s="31" t="s">
        <v>16</v>
      </c>
      <c r="F221" s="32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6.25" x14ac:dyDescent="0.25">
      <c r="A222" s="50"/>
      <c r="B222" s="53"/>
      <c r="C222" s="53"/>
      <c r="D222" s="30" t="s">
        <v>62</v>
      </c>
      <c r="E222" s="31" t="s">
        <v>16</v>
      </c>
      <c r="F222" s="32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ht="39" x14ac:dyDescent="0.25">
      <c r="A223" s="50"/>
      <c r="B223" s="53"/>
      <c r="C223" s="53"/>
      <c r="D223" s="30" t="s">
        <v>63</v>
      </c>
      <c r="E223" s="31" t="s">
        <v>16</v>
      </c>
      <c r="F223" s="32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0"/>
      <c r="B224" s="53"/>
      <c r="C224" s="53"/>
      <c r="D224" s="30" t="s">
        <v>49</v>
      </c>
      <c r="E224" s="31" t="s">
        <v>50</v>
      </c>
      <c r="F224" s="32" t="s">
        <v>58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ht="26.25" x14ac:dyDescent="0.25">
      <c r="A225" s="50"/>
      <c r="B225" s="53"/>
      <c r="C225" s="53"/>
      <c r="D225" s="30" t="s">
        <v>52</v>
      </c>
      <c r="E225" s="12" t="s">
        <v>16</v>
      </c>
      <c r="F225" s="32" t="s">
        <v>58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1"/>
      <c r="B226" s="54"/>
      <c r="C226" s="54"/>
      <c r="D226" s="30" t="s">
        <v>33</v>
      </c>
      <c r="E226" s="12" t="s">
        <v>16</v>
      </c>
      <c r="F226" s="32" t="s">
        <v>58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ht="21.75" customHeight="1" x14ac:dyDescent="0.25">
      <c r="A227" s="49" t="s">
        <v>69</v>
      </c>
      <c r="B227" s="52" t="s">
        <v>70</v>
      </c>
      <c r="C227" s="52" t="s">
        <v>10</v>
      </c>
      <c r="D227" s="55" t="s">
        <v>11</v>
      </c>
      <c r="E227" s="56"/>
      <c r="F227" s="5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0"/>
      <c r="B228" s="53"/>
      <c r="C228" s="53"/>
      <c r="D228" s="58" t="s">
        <v>12</v>
      </c>
      <c r="E228" s="58"/>
      <c r="F228" s="5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0"/>
      <c r="B229" s="53"/>
      <c r="C229" s="53"/>
      <c r="D229" s="11" t="s">
        <v>68</v>
      </c>
      <c r="E229" s="12" t="s">
        <v>14</v>
      </c>
      <c r="F229" s="13" t="s">
        <v>58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0"/>
      <c r="B230" s="53"/>
      <c r="C230" s="53"/>
      <c r="D230" s="14" t="s">
        <v>15</v>
      </c>
      <c r="E230" s="15" t="s">
        <v>16</v>
      </c>
      <c r="F230" s="13" t="s">
        <v>58</v>
      </c>
      <c r="G230" s="6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x14ac:dyDescent="0.25">
      <c r="A231" s="50"/>
      <c r="B231" s="53"/>
      <c r="C231" s="53"/>
      <c r="D231" s="16" t="s">
        <v>17</v>
      </c>
      <c r="E231" s="15" t="s">
        <v>16</v>
      </c>
      <c r="F231" s="17" t="s">
        <v>58</v>
      </c>
      <c r="G231" s="6"/>
      <c r="H231" s="6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x14ac:dyDescent="0.25">
      <c r="A232" s="50"/>
      <c r="B232" s="53"/>
      <c r="C232" s="53"/>
      <c r="D232" s="55" t="s">
        <v>18</v>
      </c>
      <c r="E232" s="56"/>
      <c r="F232" s="57"/>
      <c r="G232" s="6"/>
      <c r="H232" s="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0"/>
      <c r="B233" s="53"/>
      <c r="C233" s="53"/>
      <c r="D233" s="55" t="s">
        <v>19</v>
      </c>
      <c r="E233" s="56"/>
      <c r="F233" s="57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0"/>
      <c r="B234" s="53"/>
      <c r="C234" s="53"/>
      <c r="D234" s="18" t="s">
        <v>20</v>
      </c>
      <c r="E234" s="19" t="s">
        <v>21</v>
      </c>
      <c r="F234" s="20" t="s">
        <v>58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0"/>
      <c r="B235" s="53"/>
      <c r="C235" s="53"/>
      <c r="D235" s="18" t="s">
        <v>22</v>
      </c>
      <c r="E235" s="19" t="s">
        <v>23</v>
      </c>
      <c r="F235" s="20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ht="15.75" x14ac:dyDescent="0.25">
      <c r="A236" s="50"/>
      <c r="B236" s="53"/>
      <c r="C236" s="53"/>
      <c r="D236" s="18" t="s">
        <v>24</v>
      </c>
      <c r="E236" s="19" t="s">
        <v>25</v>
      </c>
      <c r="F236" s="20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0.75" customHeight="1" x14ac:dyDescent="0.25">
      <c r="A237" s="50"/>
      <c r="B237" s="53"/>
      <c r="C237" s="53"/>
      <c r="D237" s="55" t="s">
        <v>26</v>
      </c>
      <c r="E237" s="56"/>
      <c r="F237" s="5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0"/>
      <c r="B238" s="53"/>
      <c r="C238" s="53"/>
      <c r="D238" s="21" t="s">
        <v>27</v>
      </c>
      <c r="E238" s="22" t="s">
        <v>28</v>
      </c>
      <c r="F238" s="23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0"/>
      <c r="B239" s="53"/>
      <c r="C239" s="53"/>
      <c r="D239" s="21" t="s">
        <v>29</v>
      </c>
      <c r="E239" s="22" t="s">
        <v>28</v>
      </c>
      <c r="F239" s="23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x14ac:dyDescent="0.25">
      <c r="A240" s="50"/>
      <c r="B240" s="53"/>
      <c r="C240" s="53"/>
      <c r="D240" s="24" t="s">
        <v>59</v>
      </c>
      <c r="E240" s="7" t="s">
        <v>60</v>
      </c>
      <c r="F240" s="23" t="s">
        <v>58</v>
      </c>
      <c r="G240"/>
      <c r="H240" s="6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x14ac:dyDescent="0.25">
      <c r="A241" s="50"/>
      <c r="B241" s="53"/>
      <c r="C241" s="53"/>
      <c r="D241" s="24" t="s">
        <v>31</v>
      </c>
      <c r="E241" s="22" t="s">
        <v>28</v>
      </c>
      <c r="F241" s="23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ht="39" x14ac:dyDescent="0.25">
      <c r="A242" s="50"/>
      <c r="B242" s="53"/>
      <c r="C242" s="53"/>
      <c r="D242" s="25" t="s">
        <v>32</v>
      </c>
      <c r="E242" s="22" t="s">
        <v>28</v>
      </c>
      <c r="F242" s="23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0"/>
      <c r="B243" s="53"/>
      <c r="C243" s="53"/>
      <c r="D243" s="24" t="s">
        <v>33</v>
      </c>
      <c r="E243" s="22" t="s">
        <v>28</v>
      </c>
      <c r="F243" s="23" t="s">
        <v>58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0"/>
      <c r="B244" s="53"/>
      <c r="C244" s="53"/>
      <c r="D244" s="24" t="s">
        <v>34</v>
      </c>
      <c r="E244" s="22" t="s">
        <v>28</v>
      </c>
      <c r="F244" s="23" t="s">
        <v>58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6.25" x14ac:dyDescent="0.25">
      <c r="A245" s="50"/>
      <c r="B245" s="53"/>
      <c r="C245" s="53"/>
      <c r="D245" s="25" t="s">
        <v>61</v>
      </c>
      <c r="E245" s="22" t="s">
        <v>28</v>
      </c>
      <c r="F245" s="23" t="s">
        <v>58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29.25" customHeight="1" x14ac:dyDescent="0.25">
      <c r="A246" s="50"/>
      <c r="B246" s="53"/>
      <c r="C246" s="53"/>
      <c r="D246" s="55" t="s">
        <v>36</v>
      </c>
      <c r="E246" s="56"/>
      <c r="F246" s="5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0"/>
      <c r="B247" s="53"/>
      <c r="C247" s="53"/>
      <c r="D247" s="24" t="s">
        <v>37</v>
      </c>
      <c r="E247" s="26" t="s">
        <v>38</v>
      </c>
      <c r="F247" s="8" t="s">
        <v>58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0"/>
      <c r="B248" s="53"/>
      <c r="C248" s="53"/>
      <c r="D248" s="55" t="s">
        <v>39</v>
      </c>
      <c r="E248" s="56"/>
      <c r="F248" s="5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0"/>
      <c r="B249" s="53"/>
      <c r="C249" s="53"/>
      <c r="D249" s="27" t="s">
        <v>40</v>
      </c>
      <c r="E249" s="28" t="s">
        <v>41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ht="28.5" customHeight="1" x14ac:dyDescent="0.25">
      <c r="A250" s="50"/>
      <c r="B250" s="53"/>
      <c r="C250" s="53"/>
      <c r="D250" s="58" t="s">
        <v>42</v>
      </c>
      <c r="E250" s="58"/>
      <c r="F250" s="58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ht="18.75" customHeight="1" x14ac:dyDescent="0.25">
      <c r="A251" s="50"/>
      <c r="B251" s="53"/>
      <c r="C251" s="53"/>
      <c r="D251" s="29" t="s">
        <v>43</v>
      </c>
      <c r="E251" s="22" t="s">
        <v>14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0"/>
      <c r="B252" s="53"/>
      <c r="C252" s="53"/>
      <c r="D252" s="36" t="s">
        <v>71</v>
      </c>
      <c r="E252" s="22" t="s">
        <v>72</v>
      </c>
      <c r="F252" s="8" t="s">
        <v>58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0"/>
      <c r="B253" s="53"/>
      <c r="C253" s="53"/>
      <c r="D253" s="14" t="s">
        <v>15</v>
      </c>
      <c r="E253" s="15" t="s">
        <v>16</v>
      </c>
      <c r="F253" s="17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x14ac:dyDescent="0.25">
      <c r="A254" s="50"/>
      <c r="B254" s="53"/>
      <c r="C254" s="53"/>
      <c r="D254" s="16" t="s">
        <v>17</v>
      </c>
      <c r="E254" s="15" t="s">
        <v>16</v>
      </c>
      <c r="F254" s="17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0"/>
      <c r="B255" s="53"/>
      <c r="C255" s="53"/>
      <c r="D255" s="58" t="s">
        <v>44</v>
      </c>
      <c r="E255" s="58"/>
      <c r="F255" s="58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0"/>
      <c r="B256" s="53"/>
      <c r="C256" s="53"/>
      <c r="D256" s="30" t="s">
        <v>45</v>
      </c>
      <c r="E256" s="31" t="s">
        <v>16</v>
      </c>
      <c r="F256" s="32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x14ac:dyDescent="0.25">
      <c r="A257" s="50"/>
      <c r="B257" s="53"/>
      <c r="C257" s="53"/>
      <c r="D257" s="30" t="s">
        <v>46</v>
      </c>
      <c r="E257" s="31" t="s">
        <v>16</v>
      </c>
      <c r="F257" s="32" t="s">
        <v>58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0"/>
      <c r="B258" s="53"/>
      <c r="C258" s="53"/>
      <c r="D258" s="30" t="s">
        <v>73</v>
      </c>
      <c r="E258" s="31" t="s">
        <v>16</v>
      </c>
      <c r="F258" s="32" t="s">
        <v>58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5" customFormat="1" ht="39" x14ac:dyDescent="0.25">
      <c r="A259" s="50"/>
      <c r="B259" s="53"/>
      <c r="C259" s="53"/>
      <c r="D259" s="30" t="s">
        <v>63</v>
      </c>
      <c r="E259" s="31" t="s">
        <v>16</v>
      </c>
      <c r="F259" s="32" t="s">
        <v>58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5" customFormat="1" x14ac:dyDescent="0.25">
      <c r="A260" s="50"/>
      <c r="B260" s="53"/>
      <c r="C260" s="53"/>
      <c r="D260" s="30" t="s">
        <v>49</v>
      </c>
      <c r="E260" s="31" t="s">
        <v>50</v>
      </c>
      <c r="F260" s="32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5" customFormat="1" x14ac:dyDescent="0.25">
      <c r="A261" s="50"/>
      <c r="B261" s="53"/>
      <c r="C261" s="53"/>
      <c r="D261" s="30" t="s">
        <v>74</v>
      </c>
      <c r="E261" s="12" t="s">
        <v>16</v>
      </c>
      <c r="F261" s="45">
        <v>4948.88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5" customFormat="1" ht="26.25" x14ac:dyDescent="0.25">
      <c r="A262" s="50"/>
      <c r="B262" s="53"/>
      <c r="C262" s="53"/>
      <c r="D262" s="30" t="s">
        <v>52</v>
      </c>
      <c r="E262" s="12" t="s">
        <v>16</v>
      </c>
      <c r="F262" s="32" t="s">
        <v>58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5" customFormat="1" x14ac:dyDescent="0.25">
      <c r="A263" s="51"/>
      <c r="B263" s="54"/>
      <c r="C263" s="54"/>
      <c r="D263" s="30" t="s">
        <v>33</v>
      </c>
      <c r="E263" s="12" t="s">
        <v>16</v>
      </c>
      <c r="F263" s="32" t="s">
        <v>58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7" spans="1:23" x14ac:dyDescent="0.25">
      <c r="H267" s="6"/>
    </row>
    <row r="269" spans="1:23" x14ac:dyDescent="0.25">
      <c r="H269" s="6"/>
    </row>
  </sheetData>
  <mergeCells count="88">
    <mergeCell ref="D250:F250"/>
    <mergeCell ref="D255:F255"/>
    <mergeCell ref="A227:A263"/>
    <mergeCell ref="B227:B263"/>
    <mergeCell ref="C227:C263"/>
    <mergeCell ref="D227:F227"/>
    <mergeCell ref="D228:F228"/>
    <mergeCell ref="D232:F232"/>
    <mergeCell ref="D233:F233"/>
    <mergeCell ref="D237:F237"/>
    <mergeCell ref="D246:F246"/>
    <mergeCell ref="D248:F248"/>
    <mergeCell ref="D198:F198"/>
    <mergeCell ref="A192:A226"/>
    <mergeCell ref="B192:B226"/>
    <mergeCell ref="C192:C226"/>
    <mergeCell ref="D192:F192"/>
    <mergeCell ref="D193:F193"/>
    <mergeCell ref="D197:F197"/>
    <mergeCell ref="D219:F219"/>
    <mergeCell ref="D202:F202"/>
    <mergeCell ref="D211:F211"/>
    <mergeCell ref="D213:F213"/>
    <mergeCell ref="D215:F215"/>
    <mergeCell ref="D180:F180"/>
    <mergeCell ref="D184:F184"/>
    <mergeCell ref="A156:A191"/>
    <mergeCell ref="B156:B191"/>
    <mergeCell ref="C156:C191"/>
    <mergeCell ref="D156:F156"/>
    <mergeCell ref="D157:F157"/>
    <mergeCell ref="D161:F161"/>
    <mergeCell ref="D162:F162"/>
    <mergeCell ref="D167:F167"/>
    <mergeCell ref="D176:F176"/>
    <mergeCell ref="D178:F178"/>
    <mergeCell ref="D103:F103"/>
    <mergeCell ref="D105:F105"/>
    <mergeCell ref="D107:F107"/>
    <mergeCell ref="D111:F111"/>
    <mergeCell ref="D126:F126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70:F70"/>
    <mergeCell ref="D74:F74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2023-03-15T03:34:19Z</dcterms:modified>
</cp:coreProperties>
</file>