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115" windowHeight="7245"/>
  </bookViews>
  <sheets>
    <sheet name="Сохновская СОШ 2021" sheetId="1" r:id="rId1"/>
  </sheets>
  <calcPr calcId="145621"/>
</workbook>
</file>

<file path=xl/calcChain.xml><?xml version="1.0" encoding="utf-8"?>
<calcChain xmlns="http://schemas.openxmlformats.org/spreadsheetml/2006/main">
  <c r="F198" i="1" l="1"/>
  <c r="F197" i="1"/>
  <c r="F195" i="1"/>
  <c r="F163" i="1"/>
  <c r="F162" i="1"/>
  <c r="F160" i="1"/>
  <c r="F127" i="1"/>
  <c r="F126" i="1"/>
  <c r="F124" i="1"/>
  <c r="F91" i="1" l="1"/>
  <c r="F90" i="1"/>
  <c r="F88" i="1"/>
  <c r="F55" i="1"/>
  <c r="F54" i="1"/>
  <c r="F52" i="1"/>
  <c r="F214" i="1"/>
  <c r="F179" i="1"/>
  <c r="F143" i="1"/>
  <c r="F107" i="1"/>
  <c r="F71" i="1"/>
  <c r="F120" i="1"/>
  <c r="F84" i="1"/>
  <c r="F48" i="1"/>
  <c r="F34" i="1" l="1"/>
  <c r="F12" i="1"/>
  <c r="F44" i="1" l="1"/>
  <c r="F291" i="1"/>
  <c r="F228" i="1"/>
  <c r="F229" i="1" l="1"/>
  <c r="F215" i="1"/>
  <c r="F180" i="1"/>
  <c r="F178" i="1"/>
  <c r="F144" i="1"/>
  <c r="F136" i="1"/>
  <c r="F135" i="1"/>
  <c r="F134" i="1"/>
  <c r="F133" i="1"/>
  <c r="F132" i="1"/>
  <c r="F130" i="1"/>
  <c r="F129" i="1"/>
  <c r="F121" i="1"/>
  <c r="F116" i="1"/>
  <c r="F115" i="1"/>
  <c r="F112" i="1"/>
  <c r="F111" i="1"/>
  <c r="F110" i="1"/>
  <c r="F108" i="1"/>
  <c r="F100" i="1"/>
  <c r="F99" i="1"/>
  <c r="F98" i="1"/>
  <c r="F97" i="1"/>
  <c r="F96" i="1"/>
  <c r="F94" i="1"/>
  <c r="F93" i="1"/>
  <c r="F80" i="1"/>
  <c r="F79" i="1"/>
  <c r="F76" i="1"/>
  <c r="F75" i="1"/>
  <c r="F74" i="1"/>
  <c r="F72" i="1"/>
  <c r="F68" i="1"/>
  <c r="F64" i="1"/>
  <c r="F63" i="1"/>
  <c r="F62" i="1"/>
  <c r="F61" i="1"/>
  <c r="F60" i="1"/>
  <c r="F58" i="1"/>
  <c r="F57" i="1"/>
  <c r="F43" i="1"/>
  <c r="F42" i="1"/>
  <c r="F38" i="1"/>
  <c r="F37" i="1"/>
  <c r="F31" i="1"/>
  <c r="F26" i="1"/>
  <c r="F25" i="1"/>
  <c r="F24" i="1"/>
  <c r="F23" i="1"/>
  <c r="F20" i="1"/>
  <c r="F227" i="1" l="1"/>
  <c r="F213" i="1"/>
  <c r="F152" i="1"/>
  <c r="F151" i="1"/>
  <c r="F148" i="1"/>
  <c r="F147" i="1"/>
  <c r="F146" i="1"/>
  <c r="F140" i="1"/>
  <c r="F104" i="1"/>
  <c r="F85" i="1"/>
  <c r="F142" i="1"/>
  <c r="F119" i="1"/>
  <c r="F106" i="1"/>
  <c r="F83" i="1"/>
  <c r="F49" i="1"/>
  <c r="F47" i="1"/>
  <c r="F35" i="1"/>
  <c r="F13" i="1"/>
  <c r="F70" i="1" l="1"/>
</calcChain>
</file>

<file path=xl/sharedStrings.xml><?xml version="1.0" encoding="utf-8"?>
<sst xmlns="http://schemas.openxmlformats.org/spreadsheetml/2006/main" count="642" uniqueCount="78">
  <si>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</si>
  <si>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</si>
  <si>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</si>
  <si>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</si>
  <si>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</si>
  <si>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</si>
  <si>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</si>
  <si>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</si>
  <si>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</si>
  <si>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</si>
  <si>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</si>
  <si>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</si>
  <si>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</si>
  <si>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</si>
  <si>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</si>
  <si>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</si>
  <si>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</si>
  <si>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</si>
  <si>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</si>
  <si>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</si>
  <si>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</si>
  <si>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</si>
  <si>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</si>
  <si>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</si>
  <si>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</si>
  <si>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</si>
  <si>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</si>
  <si>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</si>
  <si>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</si>
  <si>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</si>
  <si>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</si>
  <si>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</si>
  <si>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</si>
  <si>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</si>
  <si>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</si>
  <si>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</si>
  <si>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</si>
  <si>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</si>
  <si>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</si>
  <si>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</si>
  <si>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</si>
  <si>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</si>
  <si>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</si>
  <si>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</si>
  <si>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</si>
  <si>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</si>
  <si>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</si>
  <si>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</si>
  <si>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</si>
  <si>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</si>
  <si>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</si>
  <si>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</si>
  <si>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</si>
  <si>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</si>
  <si>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</si>
  <si>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в том числе начисление на оплату труда 30,2%</t>
  </si>
  <si>
    <t>откачка септика</t>
  </si>
  <si>
    <t>лабораторные исследования</t>
  </si>
  <si>
    <t>кол-во номеров, ед.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</si>
  <si>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</si>
  <si>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</si>
  <si>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</si>
  <si>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</si>
  <si>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</si>
  <si>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приобретение классных журналов с 10-11классы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</si>
  <si>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</si>
  <si>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</si>
  <si>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</si>
  <si>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</si>
  <si>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</si>
  <si>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</si>
  <si>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</si>
  <si>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оплата набора продуктов питания</t>
  </si>
  <si>
    <t xml:space="preserve">Предоставление питания </t>
  </si>
  <si>
    <t>Присмотр и уход</t>
  </si>
  <si>
    <t xml:space="preserve"> 880900О.99.0.БА80АБ89000</t>
  </si>
  <si>
    <t>МБОУ "Сохновская СОШ"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</si>
  <si>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30.12.2022г №44/13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</si>
</sst>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80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2" fontId="3" fillId="0" borderId="0" xfId="1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2" fontId="5" fillId="0" borderId="2" xfId="1" applyNumberFormat="1" applyFont="1" applyFill="1" applyBorder="1" applyAlignment="1">
      <alignment horizontal="center" vertical="center"/>
    </xf>
    <xf numFmtId="164" fontId="0" fillId="0" borderId="0" xfId="0" applyNumberFormat="1"/>
    <xf numFmtId="43" fontId="0" fillId="0" borderId="0" xfId="0" applyNumberFormat="1"/>
    <xf numFmtId="0" fontId="4" fillId="0" borderId="4" xfId="0" applyFont="1" applyFill="1" applyBorder="1"/>
    <xf numFmtId="2" fontId="4" fillId="0" borderId="2" xfId="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164" fontId="0" fillId="0" borderId="0" xfId="1" applyFont="1"/>
    <xf numFmtId="0" fontId="0" fillId="0" borderId="0" xfId="0" applyBorder="1"/>
    <xf numFmtId="2" fontId="0" fillId="0" borderId="0" xfId="0" applyNumberFormat="1"/>
    <xf numFmtId="0" fontId="4" fillId="0" borderId="4" xfId="0" applyFont="1" applyFill="1" applyBorder="1" applyAlignment="1">
      <alignment horizontal="left" vertical="center" wrapText="1"/>
    </xf>
    <xf numFmtId="2" fontId="3" fillId="0" borderId="0" xfId="1" applyNumberFormat="1" applyFont="1" applyAlignment="1">
      <alignment horizontal="center" vertical="center"/>
    </xf>
    <xf numFmtId="0" fontId="4" fillId="0" borderId="2" xfId="0" applyFont="1" applyFill="1" applyBorder="1" applyAlignment="1">
      <alignment horizontal="justify" vertical="center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textRotation="90" wrapText="1"/>
    </xf>
    <xf numFmtId="0" fontId="0" fillId="0" borderId="8" xfId="0" applyFont="1" applyFill="1" applyBorder="1" applyAlignment="1">
      <alignment horizontal="center" vertical="top" textRotation="180" wrapText="1"/>
    </xf>
    <xf numFmtId="0" fontId="4" fillId="0" borderId="2" xfId="0" applyFont="1" applyFill="1" applyBorder="1" applyAlignment="1">
      <alignment horizontal="justify" vertical="center" wrapText="1"/>
    </xf>
    <xf numFmtId="4" fontId="12" fillId="0" borderId="0" xfId="4" applyNumberFormat="1" applyFont="1" applyBorder="1" applyAlignment="1">
      <alignment horizontal="right" vertical="top"/>
    </xf>
    <xf numFmtId="4" fontId="0" fillId="0" borderId="0" xfId="0" applyNumberFormat="1" applyBorder="1"/>
    <xf numFmtId="2" fontId="0" fillId="0" borderId="0" xfId="0" applyNumberFormat="1" applyBorder="1"/>
    <xf numFmtId="4" fontId="13" fillId="0" borderId="0" xfId="0" applyNumberFormat="1" applyFont="1"/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49" fontId="6" fillId="0" borderId="3" xfId="0" applyNumberFormat="1" applyFont="1" applyFill="1" applyBorder="1" applyAlignment="1">
      <alignment horizontal="center" textRotation="90" wrapText="1"/>
    </xf>
    <xf numFmtId="49" fontId="6" fillId="0" borderId="7" xfId="0" applyNumberFormat="1" applyFont="1" applyFill="1" applyBorder="1" applyAlignment="1">
      <alignment horizontal="center" textRotation="90" wrapText="1"/>
    </xf>
    <xf numFmtId="49" fontId="6" fillId="0" borderId="8" xfId="0" applyNumberFormat="1" applyFont="1" applyFill="1" applyBorder="1" applyAlignment="1">
      <alignment horizontal="center" textRotation="90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0" fillId="0" borderId="3" xfId="0" applyFont="1" applyFill="1" applyBorder="1" applyAlignment="1">
      <alignment horizontal="center" vertical="top" textRotation="180" wrapText="1"/>
    </xf>
    <xf numFmtId="0" fontId="0" fillId="0" borderId="7" xfId="0" applyFont="1" applyFill="1" applyBorder="1" applyAlignment="1">
      <alignment horizontal="center" vertical="top" textRotation="180" wrapText="1"/>
    </xf>
    <xf numFmtId="0" fontId="0" fillId="0" borderId="8" xfId="0" applyFont="1" applyFill="1" applyBorder="1" applyAlignment="1">
      <alignment horizontal="center" vertical="top" textRotation="180" wrapText="1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01"/>
  <sheetViews>
    <sheetView tabSelected="1" zoomScale="90" zoomScaleNormal="90" workbookViewId="0">
      <selection activeCell="D7" sqref="D7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51" customWidth="1"/>
    <col min="7" max="7" width="15.7109375" style="6" bestFit="1" customWidth="1"/>
    <col min="8" max="8" width="16.5703125" customWidth="1"/>
    <col min="9" max="10" width="15.7109375" bestFit="1" customWidth="1"/>
    <col min="11" max="11" width="5.570312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71" t="s">
        <v>0</v>
      </c>
      <c r="F1" s="71"/>
      <c r="G1" s="3"/>
    </row>
    <row r="2" spans="1:12" ht="15.75" customHeight="1" x14ac:dyDescent="0.25">
      <c r="A2" s="1"/>
      <c r="B2" s="1"/>
      <c r="C2" s="1"/>
      <c r="D2" s="2"/>
      <c r="E2" s="71" t="s">
        <v>77</v>
      </c>
      <c r="F2" s="71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37.5" customHeight="1" x14ac:dyDescent="0.25">
      <c r="A5" s="72" t="s">
        <v>1</v>
      </c>
      <c r="B5" s="72"/>
      <c r="C5" s="72"/>
      <c r="D5" s="72"/>
      <c r="E5" s="72"/>
      <c r="F5" s="72"/>
      <c r="G5"/>
    </row>
    <row r="6" spans="1:12" ht="13.5" customHeight="1" x14ac:dyDescent="0.25">
      <c r="A6" s="73" t="s">
        <v>76</v>
      </c>
      <c r="B6" s="73"/>
      <c r="C6" s="73"/>
      <c r="D6" s="73"/>
      <c r="E6" s="73"/>
      <c r="F6" s="73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15" customHeight="1" x14ac:dyDescent="0.25">
      <c r="A9" s="61" t="s">
        <v>8</v>
      </c>
      <c r="B9" s="74" t="s">
        <v>9</v>
      </c>
      <c r="C9" s="74" t="s">
        <v>10</v>
      </c>
      <c r="D9" s="64" t="s">
        <v>11</v>
      </c>
      <c r="E9" s="65"/>
      <c r="F9" s="66"/>
      <c r="G9"/>
    </row>
    <row r="10" spans="1:12" x14ac:dyDescent="0.25">
      <c r="A10" s="62"/>
      <c r="B10" s="75"/>
      <c r="C10" s="75"/>
      <c r="D10" s="67" t="s">
        <v>12</v>
      </c>
      <c r="E10" s="67"/>
      <c r="F10" s="67"/>
      <c r="G10"/>
      <c r="H10" s="48"/>
    </row>
    <row r="11" spans="1:12" s="14" customFormat="1" x14ac:dyDescent="0.25">
      <c r="A11" s="62"/>
      <c r="B11" s="75"/>
      <c r="C11" s="75"/>
      <c r="D11" s="11" t="s">
        <v>13</v>
      </c>
      <c r="E11" s="12" t="s">
        <v>14</v>
      </c>
      <c r="F11" s="13">
        <v>7.25</v>
      </c>
      <c r="H11" s="57"/>
    </row>
    <row r="12" spans="1:12" x14ac:dyDescent="0.25">
      <c r="A12" s="62"/>
      <c r="B12" s="75"/>
      <c r="C12" s="75"/>
      <c r="D12" s="15" t="s">
        <v>15</v>
      </c>
      <c r="E12" s="16" t="s">
        <v>16</v>
      </c>
      <c r="F12" s="17">
        <f>4743423/45</f>
        <v>105409.4</v>
      </c>
      <c r="G12"/>
      <c r="H12" s="57"/>
    </row>
    <row r="13" spans="1:12" x14ac:dyDescent="0.25">
      <c r="A13" s="62"/>
      <c r="B13" s="75"/>
      <c r="C13" s="75"/>
      <c r="D13" s="18" t="s">
        <v>17</v>
      </c>
      <c r="E13" s="16" t="s">
        <v>16</v>
      </c>
      <c r="F13" s="19">
        <f>844790.8/66</f>
        <v>12799.860606060607</v>
      </c>
      <c r="G13"/>
    </row>
    <row r="14" spans="1:12" x14ac:dyDescent="0.25">
      <c r="A14" s="62"/>
      <c r="B14" s="75"/>
      <c r="C14" s="75"/>
      <c r="D14" s="64" t="s">
        <v>18</v>
      </c>
      <c r="E14" s="65"/>
      <c r="F14" s="66"/>
      <c r="G14"/>
      <c r="H14" s="6"/>
    </row>
    <row r="15" spans="1:12" x14ac:dyDescent="0.25">
      <c r="A15" s="62"/>
      <c r="B15" s="75"/>
      <c r="C15" s="75"/>
      <c r="D15" s="67" t="s">
        <v>19</v>
      </c>
      <c r="E15" s="67"/>
      <c r="F15" s="67"/>
      <c r="G15"/>
      <c r="H15" s="6"/>
      <c r="I15" s="6"/>
    </row>
    <row r="16" spans="1:12" x14ac:dyDescent="0.25">
      <c r="A16" s="62"/>
      <c r="B16" s="75"/>
      <c r="C16" s="75"/>
      <c r="D16" s="20" t="s">
        <v>20</v>
      </c>
      <c r="E16" s="21" t="s">
        <v>21</v>
      </c>
      <c r="F16" s="22" t="s">
        <v>22</v>
      </c>
      <c r="G16"/>
      <c r="H16" s="6"/>
    </row>
    <row r="17" spans="1:8" x14ac:dyDescent="0.25">
      <c r="A17" s="62"/>
      <c r="B17" s="75"/>
      <c r="C17" s="75"/>
      <c r="D17" s="20" t="s">
        <v>23</v>
      </c>
      <c r="E17" s="21" t="s">
        <v>24</v>
      </c>
      <c r="F17" s="23" t="s">
        <v>22</v>
      </c>
      <c r="G17"/>
    </row>
    <row r="18" spans="1:8" ht="15" customHeight="1" x14ac:dyDescent="0.25">
      <c r="A18" s="62"/>
      <c r="B18" s="75"/>
      <c r="C18" s="75"/>
      <c r="D18" s="20" t="s">
        <v>25</v>
      </c>
      <c r="E18" s="21" t="s">
        <v>26</v>
      </c>
      <c r="F18" s="23" t="s">
        <v>22</v>
      </c>
      <c r="G18"/>
    </row>
    <row r="19" spans="1:8" ht="25.5" customHeight="1" x14ac:dyDescent="0.25">
      <c r="A19" s="62"/>
      <c r="B19" s="75"/>
      <c r="C19" s="75"/>
      <c r="D19" s="64" t="s">
        <v>27</v>
      </c>
      <c r="E19" s="65"/>
      <c r="F19" s="66"/>
      <c r="G19"/>
      <c r="H19" s="6"/>
    </row>
    <row r="20" spans="1:8" x14ac:dyDescent="0.25">
      <c r="A20" s="62"/>
      <c r="B20" s="75"/>
      <c r="C20" s="75"/>
      <c r="D20" s="24" t="s">
        <v>28</v>
      </c>
      <c r="E20" s="25" t="s">
        <v>29</v>
      </c>
      <c r="F20" s="26">
        <f>9562.5/45</f>
        <v>212.5</v>
      </c>
      <c r="G20"/>
    </row>
    <row r="21" spans="1:8" ht="15.75" x14ac:dyDescent="0.25">
      <c r="A21" s="62"/>
      <c r="B21" s="75"/>
      <c r="C21" s="75"/>
      <c r="D21" s="24" t="s">
        <v>30</v>
      </c>
      <c r="E21" s="25" t="s">
        <v>29</v>
      </c>
      <c r="F21" s="26" t="s">
        <v>22</v>
      </c>
      <c r="G21"/>
      <c r="H21" s="60"/>
    </row>
    <row r="22" spans="1:8" x14ac:dyDescent="0.25">
      <c r="A22" s="62"/>
      <c r="B22" s="75"/>
      <c r="C22" s="75"/>
      <c r="D22" s="27" t="s">
        <v>31</v>
      </c>
      <c r="E22" s="7" t="s">
        <v>32</v>
      </c>
      <c r="F22" s="22" t="s">
        <v>22</v>
      </c>
      <c r="G22"/>
    </row>
    <row r="23" spans="1:8" x14ac:dyDescent="0.25">
      <c r="A23" s="62"/>
      <c r="B23" s="75"/>
      <c r="C23" s="75"/>
      <c r="D23" s="27" t="s">
        <v>33</v>
      </c>
      <c r="E23" s="25" t="s">
        <v>29</v>
      </c>
      <c r="F23" s="17">
        <f>14400/45</f>
        <v>320</v>
      </c>
      <c r="G23"/>
    </row>
    <row r="24" spans="1:8" ht="39" x14ac:dyDescent="0.25">
      <c r="A24" s="62"/>
      <c r="B24" s="75"/>
      <c r="C24" s="75"/>
      <c r="D24" s="28" t="s">
        <v>34</v>
      </c>
      <c r="E24" s="25" t="s">
        <v>29</v>
      </c>
      <c r="F24" s="17">
        <f>6000/45</f>
        <v>133.33333333333334</v>
      </c>
      <c r="G24"/>
      <c r="H24" s="6"/>
    </row>
    <row r="25" spans="1:8" x14ac:dyDescent="0.25">
      <c r="A25" s="62"/>
      <c r="B25" s="75"/>
      <c r="C25" s="75"/>
      <c r="D25" s="27" t="s">
        <v>35</v>
      </c>
      <c r="E25" s="25" t="s">
        <v>29</v>
      </c>
      <c r="F25" s="17">
        <f>23800/45</f>
        <v>528.88888888888891</v>
      </c>
      <c r="G25"/>
    </row>
    <row r="26" spans="1:8" x14ac:dyDescent="0.25">
      <c r="A26" s="62"/>
      <c r="B26" s="75"/>
      <c r="C26" s="75"/>
      <c r="D26" s="27" t="s">
        <v>36</v>
      </c>
      <c r="E26" s="25" t="s">
        <v>29</v>
      </c>
      <c r="F26" s="29">
        <f>50000/45</f>
        <v>1111.1111111111111</v>
      </c>
      <c r="G26"/>
    </row>
    <row r="27" spans="1:8" ht="26.25" x14ac:dyDescent="0.25">
      <c r="A27" s="62"/>
      <c r="B27" s="75"/>
      <c r="C27" s="75"/>
      <c r="D27" s="28" t="s">
        <v>37</v>
      </c>
      <c r="E27" s="25" t="s">
        <v>29</v>
      </c>
      <c r="F27" s="29" t="s">
        <v>22</v>
      </c>
      <c r="G27"/>
    </row>
    <row r="28" spans="1:8" ht="23.25" customHeight="1" x14ac:dyDescent="0.25">
      <c r="A28" s="62"/>
      <c r="B28" s="75"/>
      <c r="C28" s="75"/>
      <c r="D28" s="64" t="s">
        <v>38</v>
      </c>
      <c r="E28" s="65"/>
      <c r="F28" s="66"/>
      <c r="G28"/>
    </row>
    <row r="29" spans="1:8" x14ac:dyDescent="0.25">
      <c r="A29" s="62"/>
      <c r="B29" s="75"/>
      <c r="C29" s="75"/>
      <c r="D29" s="27" t="s">
        <v>39</v>
      </c>
      <c r="E29" s="30" t="s">
        <v>40</v>
      </c>
      <c r="F29" s="22">
        <v>7</v>
      </c>
      <c r="G29"/>
    </row>
    <row r="30" spans="1:8" x14ac:dyDescent="0.25">
      <c r="A30" s="62"/>
      <c r="B30" s="75"/>
      <c r="C30" s="75"/>
      <c r="D30" s="64" t="s">
        <v>41</v>
      </c>
      <c r="E30" s="65"/>
      <c r="F30" s="66"/>
      <c r="G30"/>
    </row>
    <row r="31" spans="1:8" x14ac:dyDescent="0.25">
      <c r="A31" s="62"/>
      <c r="B31" s="75"/>
      <c r="C31" s="75"/>
      <c r="D31" s="31" t="s">
        <v>42</v>
      </c>
      <c r="E31" s="32" t="s">
        <v>29</v>
      </c>
      <c r="F31" s="22">
        <f>25392/45</f>
        <v>564.26666666666665</v>
      </c>
      <c r="G31"/>
    </row>
    <row r="32" spans="1:8" ht="24.75" customHeight="1" x14ac:dyDescent="0.25">
      <c r="A32" s="62"/>
      <c r="B32" s="75"/>
      <c r="C32" s="75"/>
      <c r="D32" s="67" t="s">
        <v>43</v>
      </c>
      <c r="E32" s="67"/>
      <c r="F32" s="67"/>
      <c r="G32"/>
    </row>
    <row r="33" spans="1:8" s="14" customFormat="1" ht="21.75" customHeight="1" x14ac:dyDescent="0.25">
      <c r="A33" s="62"/>
      <c r="B33" s="75"/>
      <c r="C33" s="75"/>
      <c r="D33" s="33" t="s">
        <v>44</v>
      </c>
      <c r="E33" s="34" t="s">
        <v>14</v>
      </c>
      <c r="F33" s="35">
        <v>8.75</v>
      </c>
    </row>
    <row r="34" spans="1:8" x14ac:dyDescent="0.25">
      <c r="A34" s="62"/>
      <c r="B34" s="75"/>
      <c r="C34" s="75"/>
      <c r="D34" s="15" t="s">
        <v>15</v>
      </c>
      <c r="E34" s="16" t="s">
        <v>16</v>
      </c>
      <c r="F34" s="19">
        <f>4244400/45</f>
        <v>94320</v>
      </c>
      <c r="G34"/>
    </row>
    <row r="35" spans="1:8" x14ac:dyDescent="0.25">
      <c r="A35" s="62"/>
      <c r="B35" s="75"/>
      <c r="C35" s="75"/>
      <c r="D35" s="18" t="s">
        <v>17</v>
      </c>
      <c r="E35" s="16" t="s">
        <v>16</v>
      </c>
      <c r="F35" s="19">
        <f>(29800+662700)/66</f>
        <v>10492.424242424242</v>
      </c>
      <c r="G35"/>
    </row>
    <row r="36" spans="1:8" x14ac:dyDescent="0.25">
      <c r="A36" s="62"/>
      <c r="B36" s="75"/>
      <c r="C36" s="75"/>
      <c r="D36" s="67" t="s">
        <v>45</v>
      </c>
      <c r="E36" s="67"/>
      <c r="F36" s="67"/>
      <c r="G36"/>
    </row>
    <row r="37" spans="1:8" x14ac:dyDescent="0.25">
      <c r="A37" s="62"/>
      <c r="B37" s="75"/>
      <c r="C37" s="75"/>
      <c r="D37" s="36" t="s">
        <v>46</v>
      </c>
      <c r="E37" s="37" t="s">
        <v>16</v>
      </c>
      <c r="F37" s="38">
        <f>18053.2/45</f>
        <v>401.18222222222226</v>
      </c>
      <c r="G37"/>
    </row>
    <row r="38" spans="1:8" x14ac:dyDescent="0.25">
      <c r="A38" s="62"/>
      <c r="B38" s="75"/>
      <c r="C38" s="75"/>
      <c r="D38" s="36" t="s">
        <v>47</v>
      </c>
      <c r="E38" s="37" t="s">
        <v>16</v>
      </c>
      <c r="F38" s="38">
        <f>9562.5/45</f>
        <v>212.5</v>
      </c>
      <c r="G38"/>
    </row>
    <row r="39" spans="1:8" ht="26.25" x14ac:dyDescent="0.25">
      <c r="A39" s="62"/>
      <c r="B39" s="75"/>
      <c r="C39" s="75"/>
      <c r="D39" s="36" t="s">
        <v>48</v>
      </c>
      <c r="E39" s="37" t="s">
        <v>16</v>
      </c>
      <c r="F39" s="38" t="s">
        <v>22</v>
      </c>
      <c r="G39"/>
    </row>
    <row r="40" spans="1:8" ht="39" x14ac:dyDescent="0.25">
      <c r="A40" s="62"/>
      <c r="B40" s="75"/>
      <c r="C40" s="75"/>
      <c r="D40" s="36" t="s">
        <v>49</v>
      </c>
      <c r="E40" s="37" t="s">
        <v>16</v>
      </c>
      <c r="F40" s="38" t="s">
        <v>22</v>
      </c>
      <c r="G40"/>
    </row>
    <row r="41" spans="1:8" x14ac:dyDescent="0.25">
      <c r="A41" s="62"/>
      <c r="B41" s="75"/>
      <c r="C41" s="75"/>
      <c r="D41" s="36" t="s">
        <v>50</v>
      </c>
      <c r="E41" s="37" t="s">
        <v>51</v>
      </c>
      <c r="F41" s="19" t="s">
        <v>22</v>
      </c>
      <c r="G41"/>
    </row>
    <row r="42" spans="1:8" ht="26.25" x14ac:dyDescent="0.25">
      <c r="A42" s="62"/>
      <c r="B42" s="75"/>
      <c r="C42" s="75"/>
      <c r="D42" s="36" t="s">
        <v>52</v>
      </c>
      <c r="E42" s="39" t="s">
        <v>16</v>
      </c>
      <c r="F42" s="38">
        <f>6500/45</f>
        <v>144.44444444444446</v>
      </c>
      <c r="G42"/>
    </row>
    <row r="43" spans="1:8" x14ac:dyDescent="0.25">
      <c r="A43" s="62"/>
      <c r="B43" s="75"/>
      <c r="C43" s="75"/>
      <c r="D43" s="27" t="s">
        <v>35</v>
      </c>
      <c r="E43" s="39" t="s">
        <v>16</v>
      </c>
      <c r="F43" s="38">
        <f>61540/45</f>
        <v>1367.5555555555557</v>
      </c>
      <c r="G43"/>
    </row>
    <row r="44" spans="1:8" x14ac:dyDescent="0.25">
      <c r="A44" s="63"/>
      <c r="B44" s="76"/>
      <c r="C44" s="76"/>
      <c r="D44" s="36" t="s">
        <v>53</v>
      </c>
      <c r="E44" s="39" t="s">
        <v>16</v>
      </c>
      <c r="F44" s="38">
        <f>561600/45</f>
        <v>12480</v>
      </c>
      <c r="G44"/>
    </row>
    <row r="45" spans="1:8" ht="27" customHeight="1" x14ac:dyDescent="0.25">
      <c r="A45" s="61" t="s">
        <v>54</v>
      </c>
      <c r="B45" s="74" t="s">
        <v>9</v>
      </c>
      <c r="C45" s="74" t="s">
        <v>10</v>
      </c>
      <c r="D45" s="64" t="s">
        <v>11</v>
      </c>
      <c r="E45" s="65"/>
      <c r="F45" s="66"/>
      <c r="G45"/>
    </row>
    <row r="46" spans="1:8" x14ac:dyDescent="0.25">
      <c r="A46" s="62"/>
      <c r="B46" s="75"/>
      <c r="C46" s="75"/>
      <c r="D46" s="67" t="s">
        <v>12</v>
      </c>
      <c r="E46" s="67"/>
      <c r="F46" s="67"/>
      <c r="G46"/>
    </row>
    <row r="47" spans="1:8" x14ac:dyDescent="0.25">
      <c r="A47" s="62"/>
      <c r="B47" s="75"/>
      <c r="C47" s="75"/>
      <c r="D47" s="40" t="s">
        <v>13</v>
      </c>
      <c r="E47" s="39" t="s">
        <v>14</v>
      </c>
      <c r="F47" s="41">
        <f>40.67+12.31</f>
        <v>52.980000000000004</v>
      </c>
      <c r="G47"/>
    </row>
    <row r="48" spans="1:8" x14ac:dyDescent="0.25">
      <c r="A48" s="62"/>
      <c r="B48" s="75"/>
      <c r="C48" s="75"/>
      <c r="D48" s="15" t="s">
        <v>15</v>
      </c>
      <c r="E48" s="16" t="s">
        <v>16</v>
      </c>
      <c r="F48" s="41">
        <f>15624700*0.19/45</f>
        <v>65970.955555555556</v>
      </c>
      <c r="G48" s="42"/>
      <c r="H48" s="6"/>
    </row>
    <row r="49" spans="1:9" x14ac:dyDescent="0.25">
      <c r="A49" s="62"/>
      <c r="B49" s="75"/>
      <c r="C49" s="75"/>
      <c r="D49" s="18" t="s">
        <v>55</v>
      </c>
      <c r="E49" s="16" t="s">
        <v>16</v>
      </c>
      <c r="F49" s="41">
        <f>1158600*0.37/121</f>
        <v>3542.8264462809916</v>
      </c>
      <c r="H49" s="6"/>
    </row>
    <row r="50" spans="1:9" x14ac:dyDescent="0.25">
      <c r="A50" s="62"/>
      <c r="B50" s="75"/>
      <c r="C50" s="75"/>
      <c r="D50" s="64" t="s">
        <v>18</v>
      </c>
      <c r="E50" s="65"/>
      <c r="F50" s="66"/>
      <c r="G50"/>
      <c r="H50" s="58"/>
    </row>
    <row r="51" spans="1:9" x14ac:dyDescent="0.25">
      <c r="A51" s="62"/>
      <c r="B51" s="75"/>
      <c r="C51" s="75"/>
      <c r="D51" s="67" t="s">
        <v>19</v>
      </c>
      <c r="E51" s="67"/>
      <c r="F51" s="67"/>
      <c r="G51"/>
      <c r="H51" s="57"/>
      <c r="I51" s="6"/>
    </row>
    <row r="52" spans="1:9" x14ac:dyDescent="0.25">
      <c r="A52" s="62"/>
      <c r="B52" s="75"/>
      <c r="C52" s="75"/>
      <c r="D52" s="20" t="s">
        <v>20</v>
      </c>
      <c r="E52" s="21" t="s">
        <v>21</v>
      </c>
      <c r="F52" s="8">
        <f>5500000*0.19/45</f>
        <v>23222.222222222223</v>
      </c>
      <c r="G52"/>
      <c r="H52" s="59"/>
    </row>
    <row r="53" spans="1:9" x14ac:dyDescent="0.25">
      <c r="A53" s="62"/>
      <c r="B53" s="75"/>
      <c r="C53" s="75"/>
      <c r="D53" s="20" t="s">
        <v>23</v>
      </c>
      <c r="E53" s="21" t="s">
        <v>24</v>
      </c>
      <c r="F53" s="8" t="s">
        <v>22</v>
      </c>
      <c r="G53" s="42"/>
      <c r="H53" s="6"/>
    </row>
    <row r="54" spans="1:9" ht="15.75" x14ac:dyDescent="0.25">
      <c r="A54" s="62"/>
      <c r="B54" s="75"/>
      <c r="C54" s="75"/>
      <c r="D54" s="20" t="s">
        <v>25</v>
      </c>
      <c r="E54" s="21" t="s">
        <v>26</v>
      </c>
      <c r="F54" s="8">
        <f>80000*0.19/45</f>
        <v>337.77777777777777</v>
      </c>
      <c r="G54" s="43"/>
      <c r="H54" s="57"/>
    </row>
    <row r="55" spans="1:9" x14ac:dyDescent="0.25">
      <c r="A55" s="62"/>
      <c r="B55" s="75"/>
      <c r="C55" s="75"/>
      <c r="D55" s="44" t="s">
        <v>56</v>
      </c>
      <c r="E55" s="21" t="s">
        <v>29</v>
      </c>
      <c r="F55" s="8">
        <f>60847.12*0.19/45</f>
        <v>256.91006222222222</v>
      </c>
      <c r="G55" s="43"/>
      <c r="H55" s="49"/>
    </row>
    <row r="56" spans="1:9" ht="34.5" customHeight="1" x14ac:dyDescent="0.25">
      <c r="A56" s="62"/>
      <c r="B56" s="75"/>
      <c r="C56" s="75"/>
      <c r="D56" s="64" t="s">
        <v>27</v>
      </c>
      <c r="E56" s="65"/>
      <c r="F56" s="66"/>
      <c r="G56"/>
      <c r="H56" s="42"/>
      <c r="I56" s="42"/>
    </row>
    <row r="57" spans="1:9" x14ac:dyDescent="0.25">
      <c r="A57" s="62"/>
      <c r="B57" s="75"/>
      <c r="C57" s="75"/>
      <c r="D57" s="24" t="s">
        <v>28</v>
      </c>
      <c r="E57" s="25" t="s">
        <v>29</v>
      </c>
      <c r="F57" s="45">
        <f>64659.93*0.37/45</f>
        <v>531.64831333333336</v>
      </c>
      <c r="G57" s="42"/>
    </row>
    <row r="58" spans="1:9" x14ac:dyDescent="0.25">
      <c r="A58" s="62"/>
      <c r="B58" s="75"/>
      <c r="C58" s="75"/>
      <c r="D58" s="24" t="s">
        <v>30</v>
      </c>
      <c r="E58" s="25" t="s">
        <v>29</v>
      </c>
      <c r="F58" s="45">
        <f>58000*0.37/45</f>
        <v>476.88888888888891</v>
      </c>
      <c r="G58"/>
    </row>
    <row r="59" spans="1:9" x14ac:dyDescent="0.25">
      <c r="A59" s="62"/>
      <c r="B59" s="75"/>
      <c r="C59" s="75"/>
      <c r="D59" s="27" t="s">
        <v>31</v>
      </c>
      <c r="E59" s="7" t="s">
        <v>32</v>
      </c>
      <c r="F59" s="8" t="s">
        <v>22</v>
      </c>
      <c r="G59"/>
    </row>
    <row r="60" spans="1:9" ht="15.75" x14ac:dyDescent="0.25">
      <c r="A60" s="62"/>
      <c r="B60" s="75"/>
      <c r="C60" s="75"/>
      <c r="D60" s="27" t="s">
        <v>33</v>
      </c>
      <c r="E60" s="25" t="s">
        <v>29</v>
      </c>
      <c r="F60" s="41">
        <f>73200*0.37/45</f>
        <v>601.86666666666667</v>
      </c>
      <c r="G60"/>
      <c r="H60" s="60"/>
    </row>
    <row r="61" spans="1:9" ht="39" x14ac:dyDescent="0.25">
      <c r="A61" s="62"/>
      <c r="B61" s="75"/>
      <c r="C61" s="75"/>
      <c r="D61" s="28" t="s">
        <v>34</v>
      </c>
      <c r="E61" s="25" t="s">
        <v>29</v>
      </c>
      <c r="F61" s="41">
        <f>(24000*0.37)/45</f>
        <v>197.33333333333334</v>
      </c>
      <c r="G61"/>
    </row>
    <row r="62" spans="1:9" x14ac:dyDescent="0.25">
      <c r="A62" s="62"/>
      <c r="B62" s="75"/>
      <c r="C62" s="75"/>
      <c r="D62" s="27" t="s">
        <v>35</v>
      </c>
      <c r="E62" s="25" t="s">
        <v>29</v>
      </c>
      <c r="F62" s="41">
        <f>146000*0.37/45</f>
        <v>1200.4444444444443</v>
      </c>
      <c r="G62"/>
    </row>
    <row r="63" spans="1:9" x14ac:dyDescent="0.25">
      <c r="A63" s="62"/>
      <c r="B63" s="75"/>
      <c r="C63" s="75"/>
      <c r="D63" s="27" t="s">
        <v>57</v>
      </c>
      <c r="E63" s="25" t="s">
        <v>29</v>
      </c>
      <c r="F63" s="41">
        <f>88000*0.37/45</f>
        <v>723.55555555555554</v>
      </c>
      <c r="G63"/>
    </row>
    <row r="64" spans="1:9" ht="26.25" x14ac:dyDescent="0.25">
      <c r="A64" s="62"/>
      <c r="B64" s="75"/>
      <c r="C64" s="75"/>
      <c r="D64" s="28" t="s">
        <v>37</v>
      </c>
      <c r="E64" s="25" t="s">
        <v>29</v>
      </c>
      <c r="F64" s="41">
        <f>(48800*0.37)/45</f>
        <v>401.24444444444447</v>
      </c>
      <c r="G64"/>
    </row>
    <row r="65" spans="1:8" ht="29.25" customHeight="1" x14ac:dyDescent="0.25">
      <c r="A65" s="62"/>
      <c r="B65" s="75"/>
      <c r="C65" s="75"/>
      <c r="D65" s="64" t="s">
        <v>38</v>
      </c>
      <c r="E65" s="65"/>
      <c r="F65" s="66"/>
      <c r="G65"/>
      <c r="H65" s="42"/>
    </row>
    <row r="66" spans="1:8" x14ac:dyDescent="0.25">
      <c r="A66" s="62"/>
      <c r="B66" s="75"/>
      <c r="C66" s="75"/>
      <c r="D66" s="27" t="s">
        <v>39</v>
      </c>
      <c r="E66" s="30" t="s">
        <v>40</v>
      </c>
      <c r="F66" s="8">
        <v>4</v>
      </c>
      <c r="G66"/>
      <c r="H66" s="6"/>
    </row>
    <row r="67" spans="1:8" x14ac:dyDescent="0.25">
      <c r="A67" s="62"/>
      <c r="B67" s="75"/>
      <c r="C67" s="75"/>
      <c r="D67" s="64" t="s">
        <v>41</v>
      </c>
      <c r="E67" s="65"/>
      <c r="F67" s="66"/>
      <c r="G67"/>
      <c r="H67" s="42"/>
    </row>
    <row r="68" spans="1:8" x14ac:dyDescent="0.25">
      <c r="A68" s="62"/>
      <c r="B68" s="75"/>
      <c r="C68" s="75"/>
      <c r="D68" s="31" t="s">
        <v>42</v>
      </c>
      <c r="E68" s="25" t="s">
        <v>29</v>
      </c>
      <c r="F68" s="8">
        <f>80000*0.37/45</f>
        <v>657.77777777777783</v>
      </c>
      <c r="G68"/>
      <c r="H68" s="42"/>
    </row>
    <row r="69" spans="1:8" ht="30" customHeight="1" x14ac:dyDescent="0.25">
      <c r="A69" s="62"/>
      <c r="B69" s="75"/>
      <c r="C69" s="75"/>
      <c r="D69" s="67" t="s">
        <v>43</v>
      </c>
      <c r="E69" s="67"/>
      <c r="F69" s="67"/>
      <c r="G69"/>
    </row>
    <row r="70" spans="1:8" ht="26.25" x14ac:dyDescent="0.25">
      <c r="A70" s="62"/>
      <c r="B70" s="75"/>
      <c r="C70" s="75"/>
      <c r="D70" s="46" t="s">
        <v>44</v>
      </c>
      <c r="E70" s="25" t="s">
        <v>14</v>
      </c>
      <c r="F70" s="8">
        <f>20.3+8.2</f>
        <v>28.5</v>
      </c>
      <c r="G70"/>
    </row>
    <row r="71" spans="1:8" x14ac:dyDescent="0.25">
      <c r="A71" s="62"/>
      <c r="B71" s="75"/>
      <c r="C71" s="75"/>
      <c r="D71" s="15" t="s">
        <v>15</v>
      </c>
      <c r="E71" s="16" t="s">
        <v>16</v>
      </c>
      <c r="F71" s="41">
        <f>4737900*0.19/45</f>
        <v>20004.466666666667</v>
      </c>
      <c r="G71" s="42"/>
    </row>
    <row r="72" spans="1:8" x14ac:dyDescent="0.25">
      <c r="A72" s="62"/>
      <c r="B72" s="75"/>
      <c r="C72" s="75"/>
      <c r="D72" s="18" t="s">
        <v>55</v>
      </c>
      <c r="E72" s="16" t="s">
        <v>16</v>
      </c>
      <c r="F72" s="41">
        <f>F71*30.2%</f>
        <v>6041.3489333333337</v>
      </c>
      <c r="G72"/>
    </row>
    <row r="73" spans="1:8" x14ac:dyDescent="0.25">
      <c r="A73" s="62"/>
      <c r="B73" s="75"/>
      <c r="C73" s="75"/>
      <c r="D73" s="67" t="s">
        <v>45</v>
      </c>
      <c r="E73" s="67"/>
      <c r="F73" s="67"/>
      <c r="G73"/>
    </row>
    <row r="74" spans="1:8" x14ac:dyDescent="0.25">
      <c r="A74" s="62"/>
      <c r="B74" s="75"/>
      <c r="C74" s="75"/>
      <c r="D74" s="36" t="s">
        <v>46</v>
      </c>
      <c r="E74" s="37" t="s">
        <v>16</v>
      </c>
      <c r="F74" s="41">
        <f>100000*0.37/45</f>
        <v>822.22222222222217</v>
      </c>
      <c r="G74" s="42"/>
    </row>
    <row r="75" spans="1:8" x14ac:dyDescent="0.25">
      <c r="A75" s="62"/>
      <c r="B75" s="75"/>
      <c r="C75" s="75"/>
      <c r="D75" s="36" t="s">
        <v>47</v>
      </c>
      <c r="E75" s="37" t="s">
        <v>16</v>
      </c>
      <c r="F75" s="41">
        <f>40000*0.37/45</f>
        <v>328.88888888888891</v>
      </c>
      <c r="G75"/>
    </row>
    <row r="76" spans="1:8" ht="26.25" x14ac:dyDescent="0.25">
      <c r="A76" s="62"/>
      <c r="B76" s="75"/>
      <c r="C76" s="75"/>
      <c r="D76" s="36" t="s">
        <v>48</v>
      </c>
      <c r="E76" s="16" t="s">
        <v>16</v>
      </c>
      <c r="F76" s="41">
        <f>12000*0.37/45</f>
        <v>98.666666666666671</v>
      </c>
      <c r="G76"/>
    </row>
    <row r="77" spans="1:8" ht="39" x14ac:dyDescent="0.25">
      <c r="A77" s="62"/>
      <c r="B77" s="75"/>
      <c r="C77" s="75"/>
      <c r="D77" s="36" t="s">
        <v>49</v>
      </c>
      <c r="E77" s="16" t="s">
        <v>16</v>
      </c>
      <c r="F77" s="41" t="s">
        <v>22</v>
      </c>
      <c r="G77"/>
    </row>
    <row r="78" spans="1:8" x14ac:dyDescent="0.25">
      <c r="A78" s="62"/>
      <c r="B78" s="75"/>
      <c r="C78" s="75"/>
      <c r="D78" s="36" t="s">
        <v>50</v>
      </c>
      <c r="E78" s="37" t="s">
        <v>51</v>
      </c>
      <c r="F78" s="41">
        <v>50</v>
      </c>
      <c r="G78"/>
    </row>
    <row r="79" spans="1:8" ht="26.25" x14ac:dyDescent="0.25">
      <c r="A79" s="62"/>
      <c r="B79" s="75"/>
      <c r="C79" s="75"/>
      <c r="D79" s="36" t="s">
        <v>52</v>
      </c>
      <c r="E79" s="39" t="s">
        <v>16</v>
      </c>
      <c r="F79" s="41">
        <f>22000*0.37/45</f>
        <v>180.88888888888889</v>
      </c>
      <c r="G79"/>
      <c r="H79" s="6"/>
    </row>
    <row r="80" spans="1:8" x14ac:dyDescent="0.25">
      <c r="A80" s="63"/>
      <c r="B80" s="76"/>
      <c r="C80" s="76"/>
      <c r="D80" s="36" t="s">
        <v>35</v>
      </c>
      <c r="E80" s="39" t="s">
        <v>16</v>
      </c>
      <c r="F80" s="41">
        <f>98000*0.37/45</f>
        <v>805.77777777777783</v>
      </c>
      <c r="G80" s="42"/>
    </row>
    <row r="81" spans="1:26" s="48" customFormat="1" ht="22.5" customHeight="1" x14ac:dyDescent="0.25">
      <c r="A81" s="61" t="s">
        <v>59</v>
      </c>
      <c r="B81" s="68" t="s">
        <v>60</v>
      </c>
      <c r="C81" s="68" t="s">
        <v>10</v>
      </c>
      <c r="D81" s="64" t="s">
        <v>11</v>
      </c>
      <c r="E81" s="65"/>
      <c r="F81" s="66"/>
      <c r="G81"/>
      <c r="H81" s="47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48" customFormat="1" ht="15" customHeight="1" x14ac:dyDescent="0.25">
      <c r="A82" s="62"/>
      <c r="B82" s="69"/>
      <c r="C82" s="69"/>
      <c r="D82" s="67" t="s">
        <v>12</v>
      </c>
      <c r="E82" s="67"/>
      <c r="F82" s="67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48" customFormat="1" x14ac:dyDescent="0.25">
      <c r="A83" s="62"/>
      <c r="B83" s="69"/>
      <c r="C83" s="69"/>
      <c r="D83" s="40" t="s">
        <v>13</v>
      </c>
      <c r="E83" s="39" t="s">
        <v>14</v>
      </c>
      <c r="F83" s="41">
        <f>40.67+12.31</f>
        <v>52.980000000000004</v>
      </c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48" customFormat="1" x14ac:dyDescent="0.25">
      <c r="A84" s="62"/>
      <c r="B84" s="69"/>
      <c r="C84" s="69"/>
      <c r="D84" s="15" t="s">
        <v>15</v>
      </c>
      <c r="E84" s="16" t="s">
        <v>16</v>
      </c>
      <c r="F84" s="41">
        <f>15624700*0.2/78</f>
        <v>40063.333333333336</v>
      </c>
      <c r="G84" s="42"/>
      <c r="H84" s="6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48" customFormat="1" x14ac:dyDescent="0.25">
      <c r="A85" s="62"/>
      <c r="B85" s="69"/>
      <c r="C85" s="69"/>
      <c r="D85" s="18" t="s">
        <v>55</v>
      </c>
      <c r="E85" s="16" t="s">
        <v>16</v>
      </c>
      <c r="F85" s="41">
        <f>1158600*0.56/179</f>
        <v>3624.6703910614533</v>
      </c>
      <c r="G85"/>
      <c r="H85" s="6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48" customFormat="1" ht="15" customHeight="1" x14ac:dyDescent="0.25">
      <c r="A86" s="62"/>
      <c r="B86" s="69"/>
      <c r="C86" s="69"/>
      <c r="D86" s="64" t="s">
        <v>18</v>
      </c>
      <c r="E86" s="65"/>
      <c r="F86" s="66"/>
      <c r="G86"/>
      <c r="H86" s="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48" customFormat="1" x14ac:dyDescent="0.25">
      <c r="A87" s="62"/>
      <c r="B87" s="69"/>
      <c r="C87" s="69"/>
      <c r="D87" s="67" t="s">
        <v>19</v>
      </c>
      <c r="E87" s="67"/>
      <c r="F87" s="67"/>
      <c r="G87"/>
      <c r="H87" s="6"/>
      <c r="I87" s="6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48" customFormat="1" x14ac:dyDescent="0.25">
      <c r="A88" s="62"/>
      <c r="B88" s="69"/>
      <c r="C88" s="69"/>
      <c r="D88" s="20" t="s">
        <v>20</v>
      </c>
      <c r="E88" s="21" t="s">
        <v>21</v>
      </c>
      <c r="F88" s="8">
        <f>5500000*0.23/78</f>
        <v>16217.948717948719</v>
      </c>
      <c r="G88"/>
      <c r="H88" s="6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48" customFormat="1" x14ac:dyDescent="0.25">
      <c r="A89" s="62"/>
      <c r="B89" s="69"/>
      <c r="C89" s="69"/>
      <c r="D89" s="20" t="s">
        <v>23</v>
      </c>
      <c r="E89" s="21" t="s">
        <v>24</v>
      </c>
      <c r="F89" s="8" t="s">
        <v>22</v>
      </c>
      <c r="G89" s="42"/>
      <c r="H89" s="4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48" customFormat="1" ht="15.75" x14ac:dyDescent="0.25">
      <c r="A90" s="62"/>
      <c r="B90" s="69"/>
      <c r="C90" s="69"/>
      <c r="D90" s="20" t="s">
        <v>25</v>
      </c>
      <c r="E90" s="21" t="s">
        <v>26</v>
      </c>
      <c r="F90" s="8">
        <f>80000*0.23/78</f>
        <v>235.89743589743588</v>
      </c>
      <c r="G90"/>
      <c r="H90" s="6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48" customFormat="1" x14ac:dyDescent="0.25">
      <c r="A91" s="62"/>
      <c r="B91" s="69"/>
      <c r="C91" s="69"/>
      <c r="D91" s="20" t="s">
        <v>56</v>
      </c>
      <c r="E91" s="21" t="s">
        <v>29</v>
      </c>
      <c r="F91" s="8">
        <f>60847.12*0.23/78</f>
        <v>179.42099487179487</v>
      </c>
      <c r="G91"/>
      <c r="H91" s="49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48" customFormat="1" ht="29.25" customHeight="1" x14ac:dyDescent="0.25">
      <c r="A92" s="62"/>
      <c r="B92" s="69"/>
      <c r="C92" s="69"/>
      <c r="D92" s="64" t="s">
        <v>27</v>
      </c>
      <c r="E92" s="65"/>
      <c r="F92" s="66"/>
      <c r="G92"/>
      <c r="H92" s="60"/>
      <c r="I92"/>
      <c r="J92" s="4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48" customFormat="1" x14ac:dyDescent="0.25">
      <c r="A93" s="62"/>
      <c r="B93" s="69"/>
      <c r="C93" s="69"/>
      <c r="D93" s="56" t="s">
        <v>28</v>
      </c>
      <c r="E93" s="25" t="s">
        <v>29</v>
      </c>
      <c r="F93" s="45">
        <f>64659.93*0.56/78</f>
        <v>464.22513846153856</v>
      </c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48" customFormat="1" x14ac:dyDescent="0.25">
      <c r="A94" s="62"/>
      <c r="B94" s="69"/>
      <c r="C94" s="69"/>
      <c r="D94" s="56" t="s">
        <v>30</v>
      </c>
      <c r="E94" s="25" t="s">
        <v>29</v>
      </c>
      <c r="F94" s="45">
        <f>58000*0.56/78</f>
        <v>416.41025641025647</v>
      </c>
      <c r="G94"/>
      <c r="H94" s="6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48" customFormat="1" x14ac:dyDescent="0.25">
      <c r="A95" s="62"/>
      <c r="B95" s="69"/>
      <c r="C95" s="69"/>
      <c r="D95" s="27" t="s">
        <v>31</v>
      </c>
      <c r="E95" s="7" t="s">
        <v>32</v>
      </c>
      <c r="F95" s="8" t="s">
        <v>22</v>
      </c>
      <c r="G95"/>
      <c r="H95" s="42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48" customFormat="1" x14ac:dyDescent="0.25">
      <c r="A96" s="62"/>
      <c r="B96" s="69"/>
      <c r="C96" s="69"/>
      <c r="D96" s="27" t="s">
        <v>33</v>
      </c>
      <c r="E96" s="25" t="s">
        <v>29</v>
      </c>
      <c r="F96" s="41">
        <f>73200*0.56/78</f>
        <v>525.53846153846166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48" customFormat="1" ht="39" x14ac:dyDescent="0.25">
      <c r="A97" s="62"/>
      <c r="B97" s="69"/>
      <c r="C97" s="69"/>
      <c r="D97" s="28" t="s">
        <v>34</v>
      </c>
      <c r="E97" s="25" t="s">
        <v>29</v>
      </c>
      <c r="F97" s="41">
        <f>(24000*0.56)/78</f>
        <v>172.30769230769232</v>
      </c>
      <c r="G97"/>
      <c r="H97" s="42"/>
      <c r="I97"/>
      <c r="J97" s="42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48" customFormat="1" x14ac:dyDescent="0.25">
      <c r="A98" s="62"/>
      <c r="B98" s="69"/>
      <c r="C98" s="69"/>
      <c r="D98" s="27" t="s">
        <v>35</v>
      </c>
      <c r="E98" s="25" t="s">
        <v>29</v>
      </c>
      <c r="F98" s="41">
        <f>146000*0.56/78</f>
        <v>1048.2051282051284</v>
      </c>
      <c r="G98"/>
      <c r="H98"/>
      <c r="I98"/>
      <c r="J98" s="42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48" customFormat="1" x14ac:dyDescent="0.25">
      <c r="A99" s="62"/>
      <c r="B99" s="69"/>
      <c r="C99" s="69"/>
      <c r="D99" s="27" t="s">
        <v>57</v>
      </c>
      <c r="E99" s="25" t="s">
        <v>29</v>
      </c>
      <c r="F99" s="41">
        <f>88000*0.56/78</f>
        <v>631.79487179487194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48" customFormat="1" ht="26.25" x14ac:dyDescent="0.25">
      <c r="A100" s="62"/>
      <c r="B100" s="69"/>
      <c r="C100" s="69"/>
      <c r="D100" s="28" t="s">
        <v>37</v>
      </c>
      <c r="E100" s="25" t="s">
        <v>29</v>
      </c>
      <c r="F100" s="41">
        <f>(48800*0.56)/78</f>
        <v>350.35897435897442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48" customFormat="1" ht="29.25" customHeight="1" x14ac:dyDescent="0.25">
      <c r="A101" s="62"/>
      <c r="B101" s="69"/>
      <c r="C101" s="69"/>
      <c r="D101" s="64" t="s">
        <v>38</v>
      </c>
      <c r="E101" s="65"/>
      <c r="F101" s="66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48" customFormat="1" x14ac:dyDescent="0.25">
      <c r="A102" s="62"/>
      <c r="B102" s="69"/>
      <c r="C102" s="69"/>
      <c r="D102" s="27" t="s">
        <v>39</v>
      </c>
      <c r="E102" s="30" t="s">
        <v>40</v>
      </c>
      <c r="F102" s="8">
        <v>4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48" customFormat="1" x14ac:dyDescent="0.25">
      <c r="A103" s="62"/>
      <c r="B103" s="69"/>
      <c r="C103" s="69"/>
      <c r="D103" s="64" t="s">
        <v>41</v>
      </c>
      <c r="E103" s="65"/>
      <c r="F103" s="66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48" customFormat="1" x14ac:dyDescent="0.25">
      <c r="A104" s="62"/>
      <c r="B104" s="69"/>
      <c r="C104" s="69"/>
      <c r="D104" s="31" t="s">
        <v>42</v>
      </c>
      <c r="E104" s="25" t="s">
        <v>29</v>
      </c>
      <c r="F104" s="8">
        <f>80000*0.56/179</f>
        <v>250.27932960893858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48" customFormat="1" ht="30" customHeight="1" x14ac:dyDescent="0.25">
      <c r="A105" s="62"/>
      <c r="B105" s="69"/>
      <c r="C105" s="69"/>
      <c r="D105" s="67" t="s">
        <v>43</v>
      </c>
      <c r="E105" s="67"/>
      <c r="F105" s="67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48" customFormat="1" ht="26.25" x14ac:dyDescent="0.25">
      <c r="A106" s="62"/>
      <c r="B106" s="69"/>
      <c r="C106" s="69"/>
      <c r="D106" s="46" t="s">
        <v>44</v>
      </c>
      <c r="E106" s="25" t="s">
        <v>14</v>
      </c>
      <c r="F106" s="8">
        <f>20.3+8.2</f>
        <v>28.5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48" customFormat="1" x14ac:dyDescent="0.25">
      <c r="A107" s="62"/>
      <c r="B107" s="69"/>
      <c r="C107" s="69"/>
      <c r="D107" s="15" t="s">
        <v>15</v>
      </c>
      <c r="E107" s="16" t="s">
        <v>16</v>
      </c>
      <c r="F107" s="41">
        <f>4737900*0.2/78</f>
        <v>12148.461538461539</v>
      </c>
      <c r="G107" s="42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48" customFormat="1" x14ac:dyDescent="0.25">
      <c r="A108" s="62"/>
      <c r="B108" s="69"/>
      <c r="C108" s="69"/>
      <c r="D108" s="18" t="s">
        <v>55</v>
      </c>
      <c r="E108" s="16" t="s">
        <v>16</v>
      </c>
      <c r="F108" s="41">
        <f>F107*30.2%</f>
        <v>3668.8353846153846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48" customFormat="1" x14ac:dyDescent="0.25">
      <c r="A109" s="62"/>
      <c r="B109" s="69"/>
      <c r="C109" s="69"/>
      <c r="D109" s="67" t="s">
        <v>45</v>
      </c>
      <c r="E109" s="67"/>
      <c r="F109" s="67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48" customFormat="1" x14ac:dyDescent="0.25">
      <c r="A110" s="62"/>
      <c r="B110" s="69"/>
      <c r="C110" s="69"/>
      <c r="D110" s="36" t="s">
        <v>46</v>
      </c>
      <c r="E110" s="37" t="s">
        <v>16</v>
      </c>
      <c r="F110" s="41">
        <f>100000*0.56/78</f>
        <v>717.94871794871801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48" customFormat="1" x14ac:dyDescent="0.25">
      <c r="A111" s="62"/>
      <c r="B111" s="69"/>
      <c r="C111" s="69"/>
      <c r="D111" s="36" t="s">
        <v>47</v>
      </c>
      <c r="E111" s="37" t="s">
        <v>16</v>
      </c>
      <c r="F111" s="41">
        <f>40000*0.56/78</f>
        <v>287.17948717948724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48" customFormat="1" ht="26.25" x14ac:dyDescent="0.25">
      <c r="A112" s="62"/>
      <c r="B112" s="69"/>
      <c r="C112" s="69"/>
      <c r="D112" s="36" t="s">
        <v>48</v>
      </c>
      <c r="E112" s="16" t="s">
        <v>16</v>
      </c>
      <c r="F112" s="41">
        <f>12000*0.56/78</f>
        <v>86.15384615384616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48" customFormat="1" ht="39" x14ac:dyDescent="0.25">
      <c r="A113" s="62"/>
      <c r="B113" s="69"/>
      <c r="C113" s="69"/>
      <c r="D113" s="36" t="s">
        <v>49</v>
      </c>
      <c r="E113" s="16" t="s">
        <v>16</v>
      </c>
      <c r="F113" s="41" t="s">
        <v>22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48" customFormat="1" x14ac:dyDescent="0.25">
      <c r="A114" s="62"/>
      <c r="B114" s="69"/>
      <c r="C114" s="69"/>
      <c r="D114" s="36" t="s">
        <v>50</v>
      </c>
      <c r="E114" s="37" t="s">
        <v>51</v>
      </c>
      <c r="F114" s="41">
        <v>50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48" customFormat="1" ht="26.25" x14ac:dyDescent="0.25">
      <c r="A115" s="62"/>
      <c r="B115" s="69"/>
      <c r="C115" s="69"/>
      <c r="D115" s="36" t="s">
        <v>52</v>
      </c>
      <c r="E115" s="39" t="s">
        <v>16</v>
      </c>
      <c r="F115" s="41">
        <f>22000*0.56/78</f>
        <v>157.94871794871798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48" customFormat="1" x14ac:dyDescent="0.25">
      <c r="A116" s="63"/>
      <c r="B116" s="70"/>
      <c r="C116" s="70"/>
      <c r="D116" s="36" t="s">
        <v>35</v>
      </c>
      <c r="E116" s="39" t="s">
        <v>16</v>
      </c>
      <c r="F116" s="41">
        <f>98000*0.56/78</f>
        <v>703.58974358974365</v>
      </c>
      <c r="G116"/>
      <c r="H116" s="47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48" customFormat="1" ht="21" customHeight="1" x14ac:dyDescent="0.25">
      <c r="A117" s="61" t="s">
        <v>61</v>
      </c>
      <c r="B117" s="68" t="s">
        <v>62</v>
      </c>
      <c r="C117" s="68" t="s">
        <v>10</v>
      </c>
      <c r="D117" s="64" t="s">
        <v>11</v>
      </c>
      <c r="E117" s="65"/>
      <c r="F117" s="66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48" customFormat="1" ht="15" customHeight="1" x14ac:dyDescent="0.25">
      <c r="A118" s="62"/>
      <c r="B118" s="69"/>
      <c r="C118" s="69"/>
      <c r="D118" s="67" t="s">
        <v>12</v>
      </c>
      <c r="E118" s="67"/>
      <c r="F118" s="67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48" customFormat="1" x14ac:dyDescent="0.25">
      <c r="A119" s="62"/>
      <c r="B119" s="69"/>
      <c r="C119" s="69"/>
      <c r="D119" s="40" t="s">
        <v>13</v>
      </c>
      <c r="E119" s="39" t="s">
        <v>14</v>
      </c>
      <c r="F119" s="41">
        <f>40.67+12.31</f>
        <v>52.980000000000004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48" customFormat="1" x14ac:dyDescent="0.25">
      <c r="A120" s="62"/>
      <c r="B120" s="69"/>
      <c r="C120" s="69"/>
      <c r="D120" s="15" t="s">
        <v>15</v>
      </c>
      <c r="E120" s="16" t="s">
        <v>16</v>
      </c>
      <c r="F120" s="41">
        <f>15624700*0.01/10</f>
        <v>15624.7</v>
      </c>
      <c r="G120" s="42"/>
      <c r="H120" s="6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48" customFormat="1" x14ac:dyDescent="0.25">
      <c r="A121" s="62"/>
      <c r="B121" s="69"/>
      <c r="C121" s="69"/>
      <c r="D121" s="18" t="s">
        <v>55</v>
      </c>
      <c r="E121" s="16" t="s">
        <v>16</v>
      </c>
      <c r="F121" s="41">
        <f>F120*30.2%</f>
        <v>4718.6594000000005</v>
      </c>
      <c r="G121"/>
      <c r="H121" s="6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48" customFormat="1" ht="15" customHeight="1" x14ac:dyDescent="0.25">
      <c r="A122" s="62"/>
      <c r="B122" s="69"/>
      <c r="C122" s="69"/>
      <c r="D122" s="64" t="s">
        <v>18</v>
      </c>
      <c r="E122" s="65"/>
      <c r="F122" s="66"/>
      <c r="G122"/>
      <c r="H122" s="6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48" customFormat="1" x14ac:dyDescent="0.25">
      <c r="A123" s="62"/>
      <c r="B123" s="69"/>
      <c r="C123" s="69"/>
      <c r="D123" s="67" t="s">
        <v>19</v>
      </c>
      <c r="E123" s="67"/>
      <c r="F123" s="67"/>
      <c r="G123"/>
      <c r="H123" s="6"/>
      <c r="I123" s="6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48" customFormat="1" x14ac:dyDescent="0.25">
      <c r="A124" s="62"/>
      <c r="B124" s="69"/>
      <c r="C124" s="69"/>
      <c r="D124" s="20" t="s">
        <v>20</v>
      </c>
      <c r="E124" s="21" t="s">
        <v>21</v>
      </c>
      <c r="F124" s="8">
        <f>5500000*0.04/10</f>
        <v>22000</v>
      </c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48" customFormat="1" x14ac:dyDescent="0.25">
      <c r="A125" s="62"/>
      <c r="B125" s="69"/>
      <c r="C125" s="69"/>
      <c r="D125" s="20" t="s">
        <v>23</v>
      </c>
      <c r="E125" s="21" t="s">
        <v>24</v>
      </c>
      <c r="F125" s="8" t="s">
        <v>22</v>
      </c>
      <c r="G125" s="42"/>
      <c r="H125" s="49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48" customFormat="1" ht="15.75" x14ac:dyDescent="0.25">
      <c r="A126" s="62"/>
      <c r="B126" s="69"/>
      <c r="C126" s="69"/>
      <c r="D126" s="20" t="s">
        <v>25</v>
      </c>
      <c r="E126" s="21" t="s">
        <v>26</v>
      </c>
      <c r="F126" s="8">
        <f>80000*0.04/10</f>
        <v>320</v>
      </c>
      <c r="G126"/>
      <c r="H126" s="42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48" customFormat="1" x14ac:dyDescent="0.25">
      <c r="A127" s="62"/>
      <c r="B127" s="69"/>
      <c r="C127" s="69"/>
      <c r="D127" s="20" t="s">
        <v>56</v>
      </c>
      <c r="E127" s="21" t="s">
        <v>29</v>
      </c>
      <c r="F127" s="8">
        <f>60847.12*0.04/10</f>
        <v>243.38848000000002</v>
      </c>
      <c r="G127"/>
      <c r="H127" s="42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48" customFormat="1" ht="28.5" customHeight="1" x14ac:dyDescent="0.25">
      <c r="A128" s="62"/>
      <c r="B128" s="69"/>
      <c r="C128" s="69"/>
      <c r="D128" s="64" t="s">
        <v>27</v>
      </c>
      <c r="E128" s="65"/>
      <c r="F128" s="66"/>
      <c r="G128"/>
      <c r="H128" s="43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48" customFormat="1" x14ac:dyDescent="0.25">
      <c r="A129" s="62"/>
      <c r="B129" s="69"/>
      <c r="C129" s="69"/>
      <c r="D129" s="56" t="s">
        <v>28</v>
      </c>
      <c r="E129" s="25" t="s">
        <v>29</v>
      </c>
      <c r="F129" s="45">
        <f>64659.93*0.07/10</f>
        <v>452.6195100000001</v>
      </c>
      <c r="G129"/>
      <c r="H129"/>
      <c r="I129" s="4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48" customFormat="1" x14ac:dyDescent="0.25">
      <c r="A130" s="62"/>
      <c r="B130" s="69"/>
      <c r="C130" s="69"/>
      <c r="D130" s="56" t="s">
        <v>30</v>
      </c>
      <c r="E130" s="25" t="s">
        <v>29</v>
      </c>
      <c r="F130" s="45">
        <f>58000*0.07/10</f>
        <v>406.00000000000006</v>
      </c>
      <c r="G130"/>
      <c r="H130"/>
      <c r="I130" s="49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48" customFormat="1" x14ac:dyDescent="0.25">
      <c r="A131" s="62"/>
      <c r="B131" s="69"/>
      <c r="C131" s="69"/>
      <c r="D131" s="27" t="s">
        <v>31</v>
      </c>
      <c r="E131" s="7" t="s">
        <v>32</v>
      </c>
      <c r="F131" s="8" t="s">
        <v>22</v>
      </c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48" customFormat="1" x14ac:dyDescent="0.25">
      <c r="A132" s="62"/>
      <c r="B132" s="69"/>
      <c r="C132" s="69"/>
      <c r="D132" s="27" t="s">
        <v>33</v>
      </c>
      <c r="E132" s="25" t="s">
        <v>29</v>
      </c>
      <c r="F132" s="41">
        <f>73200*0.07/10</f>
        <v>512.40000000000009</v>
      </c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48" customFormat="1" ht="39" x14ac:dyDescent="0.25">
      <c r="A133" s="62"/>
      <c r="B133" s="69"/>
      <c r="C133" s="69"/>
      <c r="D133" s="28" t="s">
        <v>34</v>
      </c>
      <c r="E133" s="25" t="s">
        <v>29</v>
      </c>
      <c r="F133" s="41">
        <f>(24000*0.07)/10</f>
        <v>168.00000000000003</v>
      </c>
      <c r="G133"/>
      <c r="H133"/>
      <c r="I133" s="60"/>
      <c r="J133" s="42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48" customFormat="1" x14ac:dyDescent="0.25">
      <c r="A134" s="62"/>
      <c r="B134" s="69"/>
      <c r="C134" s="69"/>
      <c r="D134" s="27" t="s">
        <v>35</v>
      </c>
      <c r="E134" s="25" t="s">
        <v>29</v>
      </c>
      <c r="F134" s="41">
        <f>146000*0.07/10</f>
        <v>1022.0000000000002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48" customFormat="1" x14ac:dyDescent="0.25">
      <c r="A135" s="62"/>
      <c r="B135" s="69"/>
      <c r="C135" s="69"/>
      <c r="D135" s="27" t="s">
        <v>57</v>
      </c>
      <c r="E135" s="25" t="s">
        <v>29</v>
      </c>
      <c r="F135" s="41">
        <f>88000*0.07/10</f>
        <v>616.00000000000011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48" customFormat="1" ht="26.25" x14ac:dyDescent="0.25">
      <c r="A136" s="62"/>
      <c r="B136" s="69"/>
      <c r="C136" s="69"/>
      <c r="D136" s="28" t="s">
        <v>37</v>
      </c>
      <c r="E136" s="25" t="s">
        <v>29</v>
      </c>
      <c r="F136" s="41">
        <f>(48800*0.07)/10</f>
        <v>341.6</v>
      </c>
      <c r="G136"/>
      <c r="H136"/>
      <c r="I136"/>
      <c r="J136" s="42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48" customFormat="1" ht="28.5" customHeight="1" x14ac:dyDescent="0.25">
      <c r="A137" s="62"/>
      <c r="B137" s="69"/>
      <c r="C137" s="69"/>
      <c r="D137" s="64" t="s">
        <v>38</v>
      </c>
      <c r="E137" s="65"/>
      <c r="F137" s="66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48" customFormat="1" x14ac:dyDescent="0.25">
      <c r="A138" s="62"/>
      <c r="B138" s="69"/>
      <c r="C138" s="69"/>
      <c r="D138" s="27" t="s">
        <v>39</v>
      </c>
      <c r="E138" s="30" t="s">
        <v>40</v>
      </c>
      <c r="F138" s="8">
        <v>4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48" customFormat="1" x14ac:dyDescent="0.25">
      <c r="A139" s="62"/>
      <c r="B139" s="69"/>
      <c r="C139" s="69"/>
      <c r="D139" s="64" t="s">
        <v>41</v>
      </c>
      <c r="E139" s="65"/>
      <c r="F139" s="66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48" customFormat="1" x14ac:dyDescent="0.25">
      <c r="A140" s="62"/>
      <c r="B140" s="69"/>
      <c r="C140" s="69"/>
      <c r="D140" s="31" t="s">
        <v>42</v>
      </c>
      <c r="E140" s="25" t="s">
        <v>29</v>
      </c>
      <c r="F140" s="8">
        <f>80000*0.07/22</f>
        <v>254.54545454545459</v>
      </c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48" customFormat="1" ht="31.5" customHeight="1" x14ac:dyDescent="0.25">
      <c r="A141" s="62"/>
      <c r="B141" s="69"/>
      <c r="C141" s="69"/>
      <c r="D141" s="67" t="s">
        <v>43</v>
      </c>
      <c r="E141" s="67"/>
      <c r="F141" s="67"/>
      <c r="G141"/>
      <c r="H141" s="42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48" customFormat="1" ht="26.25" x14ac:dyDescent="0.25">
      <c r="A142" s="62"/>
      <c r="B142" s="69"/>
      <c r="C142" s="69"/>
      <c r="D142" s="46" t="s">
        <v>44</v>
      </c>
      <c r="E142" s="25" t="s">
        <v>14</v>
      </c>
      <c r="F142" s="8">
        <f>20.3+8.2</f>
        <v>28.5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48" customFormat="1" x14ac:dyDescent="0.25">
      <c r="A143" s="62"/>
      <c r="B143" s="69"/>
      <c r="C143" s="69"/>
      <c r="D143" s="15" t="s">
        <v>15</v>
      </c>
      <c r="E143" s="16" t="s">
        <v>16</v>
      </c>
      <c r="F143" s="41">
        <f>4737900*0.01/10</f>
        <v>4737.8999999999996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48" customFormat="1" x14ac:dyDescent="0.25">
      <c r="A144" s="62"/>
      <c r="B144" s="69"/>
      <c r="C144" s="69"/>
      <c r="D144" s="18" t="s">
        <v>55</v>
      </c>
      <c r="E144" s="16" t="s">
        <v>16</v>
      </c>
      <c r="F144" s="41">
        <f>F143*30.2%</f>
        <v>1430.8457999999998</v>
      </c>
      <c r="G144" s="42"/>
      <c r="H144" s="6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48" customFormat="1" x14ac:dyDescent="0.25">
      <c r="A145" s="62"/>
      <c r="B145" s="69"/>
      <c r="C145" s="69"/>
      <c r="D145" s="67" t="s">
        <v>45</v>
      </c>
      <c r="E145" s="67"/>
      <c r="F145" s="67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48" customFormat="1" x14ac:dyDescent="0.25">
      <c r="A146" s="62"/>
      <c r="B146" s="69"/>
      <c r="C146" s="69"/>
      <c r="D146" s="36" t="s">
        <v>46</v>
      </c>
      <c r="E146" s="37" t="s">
        <v>16</v>
      </c>
      <c r="F146" s="41">
        <f>100000*0.07/22</f>
        <v>318.18181818181824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48" customFormat="1" x14ac:dyDescent="0.25">
      <c r="A147" s="62"/>
      <c r="B147" s="69"/>
      <c r="C147" s="69"/>
      <c r="D147" s="36" t="s">
        <v>47</v>
      </c>
      <c r="E147" s="37" t="s">
        <v>16</v>
      </c>
      <c r="F147" s="41">
        <f>40000*0.07/22</f>
        <v>127.27272727272729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48" customFormat="1" ht="26.25" x14ac:dyDescent="0.25">
      <c r="A148" s="62"/>
      <c r="B148" s="69"/>
      <c r="C148" s="69"/>
      <c r="D148" s="36" t="s">
        <v>48</v>
      </c>
      <c r="E148" s="16" t="s">
        <v>16</v>
      </c>
      <c r="F148" s="41">
        <f>12000*0.07/22</f>
        <v>38.181818181818187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48" customFormat="1" ht="39" x14ac:dyDescent="0.25">
      <c r="A149" s="62"/>
      <c r="B149" s="69"/>
      <c r="C149" s="69"/>
      <c r="D149" s="36" t="s">
        <v>49</v>
      </c>
      <c r="E149" s="16" t="s">
        <v>16</v>
      </c>
      <c r="F149" s="41" t="s">
        <v>22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48" customFormat="1" x14ac:dyDescent="0.25">
      <c r="A150" s="62"/>
      <c r="B150" s="69"/>
      <c r="C150" s="69"/>
      <c r="D150" s="36" t="s">
        <v>50</v>
      </c>
      <c r="E150" s="37" t="s">
        <v>51</v>
      </c>
      <c r="F150" s="41">
        <v>50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48" customFormat="1" ht="26.25" x14ac:dyDescent="0.25">
      <c r="A151" s="62"/>
      <c r="B151" s="69"/>
      <c r="C151" s="69"/>
      <c r="D151" s="36" t="s">
        <v>52</v>
      </c>
      <c r="E151" s="39" t="s">
        <v>16</v>
      </c>
      <c r="F151" s="41">
        <f>22000*0.07/22</f>
        <v>70.000000000000014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48" customFormat="1" ht="19.5" customHeight="1" x14ac:dyDescent="0.25">
      <c r="A152" s="63"/>
      <c r="B152" s="70"/>
      <c r="C152" s="70"/>
      <c r="D152" s="36" t="s">
        <v>35</v>
      </c>
      <c r="E152" s="39" t="s">
        <v>16</v>
      </c>
      <c r="F152" s="41">
        <f>98000*0.07/22</f>
        <v>311.81818181818187</v>
      </c>
      <c r="G152"/>
      <c r="H152" s="47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48" customFormat="1" ht="29.25" customHeight="1" x14ac:dyDescent="0.25">
      <c r="A153" s="61" t="s">
        <v>74</v>
      </c>
      <c r="B153" s="68" t="s">
        <v>75</v>
      </c>
      <c r="C153" s="68" t="s">
        <v>10</v>
      </c>
      <c r="D153" s="64" t="s">
        <v>11</v>
      </c>
      <c r="E153" s="65"/>
      <c r="F153" s="66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48" customFormat="1" x14ac:dyDescent="0.25">
      <c r="A154" s="62"/>
      <c r="B154" s="69"/>
      <c r="C154" s="69"/>
      <c r="D154" s="67" t="s">
        <v>12</v>
      </c>
      <c r="E154" s="67"/>
      <c r="F154" s="67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48" customFormat="1" x14ac:dyDescent="0.25">
      <c r="A155" s="62"/>
      <c r="B155" s="69"/>
      <c r="C155" s="69"/>
      <c r="D155" s="40" t="s">
        <v>13</v>
      </c>
      <c r="E155" s="39" t="s">
        <v>14</v>
      </c>
      <c r="F155" s="41" t="s">
        <v>22</v>
      </c>
      <c r="G155"/>
      <c r="H155" s="49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48" customFormat="1" x14ac:dyDescent="0.25">
      <c r="A156" s="62"/>
      <c r="B156" s="69"/>
      <c r="C156" s="69"/>
      <c r="D156" s="15" t="s">
        <v>15</v>
      </c>
      <c r="E156" s="16" t="s">
        <v>16</v>
      </c>
      <c r="F156" s="41" t="s">
        <v>22</v>
      </c>
      <c r="G156"/>
      <c r="H156" s="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48" customFormat="1" x14ac:dyDescent="0.25">
      <c r="A157" s="62"/>
      <c r="B157" s="69"/>
      <c r="C157" s="69"/>
      <c r="D157" s="18" t="s">
        <v>55</v>
      </c>
      <c r="E157" s="16" t="s">
        <v>16</v>
      </c>
      <c r="F157" s="41" t="s">
        <v>22</v>
      </c>
      <c r="G157"/>
      <c r="H157" s="6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48" customFormat="1" x14ac:dyDescent="0.25">
      <c r="A158" s="62"/>
      <c r="B158" s="69"/>
      <c r="C158" s="69"/>
      <c r="D158" s="64" t="s">
        <v>18</v>
      </c>
      <c r="E158" s="65"/>
      <c r="F158" s="66"/>
      <c r="G158"/>
      <c r="H158" s="6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48" customFormat="1" x14ac:dyDescent="0.25">
      <c r="A159" s="62"/>
      <c r="B159" s="69"/>
      <c r="C159" s="69"/>
      <c r="D159" s="67" t="s">
        <v>19</v>
      </c>
      <c r="E159" s="67"/>
      <c r="F159" s="67"/>
      <c r="G159"/>
      <c r="H159" s="6"/>
      <c r="I159" s="6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48" customFormat="1" x14ac:dyDescent="0.25">
      <c r="A160" s="62"/>
      <c r="B160" s="69"/>
      <c r="C160" s="69"/>
      <c r="D160" s="20" t="s">
        <v>20</v>
      </c>
      <c r="E160" s="21" t="s">
        <v>21</v>
      </c>
      <c r="F160" s="8">
        <f>5500000*0.21/132</f>
        <v>8750</v>
      </c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48" customFormat="1" x14ac:dyDescent="0.25">
      <c r="A161" s="62"/>
      <c r="B161" s="69"/>
      <c r="C161" s="69"/>
      <c r="D161" s="20" t="s">
        <v>23</v>
      </c>
      <c r="E161" s="21" t="s">
        <v>24</v>
      </c>
      <c r="F161" s="8" t="s">
        <v>22</v>
      </c>
      <c r="G161"/>
      <c r="H161" s="42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48" customFormat="1" ht="15.75" x14ac:dyDescent="0.25">
      <c r="A162" s="62"/>
      <c r="B162" s="69"/>
      <c r="C162" s="69"/>
      <c r="D162" s="20" t="s">
        <v>25</v>
      </c>
      <c r="E162" s="21" t="s">
        <v>26</v>
      </c>
      <c r="F162" s="8">
        <f>80000*0.21/132</f>
        <v>127.27272727272727</v>
      </c>
      <c r="G162"/>
      <c r="H162" s="6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48" customFormat="1" x14ac:dyDescent="0.25">
      <c r="A163" s="62"/>
      <c r="B163" s="69"/>
      <c r="C163" s="69"/>
      <c r="D163" s="20" t="s">
        <v>56</v>
      </c>
      <c r="E163" s="21" t="s">
        <v>29</v>
      </c>
      <c r="F163" s="8">
        <f>60847.12*0.21/132</f>
        <v>96.802236363636368</v>
      </c>
      <c r="G163"/>
      <c r="H163" s="6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48" customFormat="1" ht="31.5" customHeight="1" x14ac:dyDescent="0.25">
      <c r="A164" s="62"/>
      <c r="B164" s="69"/>
      <c r="C164" s="69"/>
      <c r="D164" s="64" t="s">
        <v>27</v>
      </c>
      <c r="E164" s="65"/>
      <c r="F164" s="66"/>
      <c r="G164"/>
      <c r="H164" s="49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48" customFormat="1" x14ac:dyDescent="0.25">
      <c r="A165" s="62"/>
      <c r="B165" s="69"/>
      <c r="C165" s="69"/>
      <c r="D165" s="52" t="s">
        <v>28</v>
      </c>
      <c r="E165" s="25" t="s">
        <v>29</v>
      </c>
      <c r="F165" s="45" t="s">
        <v>22</v>
      </c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48" customFormat="1" x14ac:dyDescent="0.25">
      <c r="A166" s="62"/>
      <c r="B166" s="69"/>
      <c r="C166" s="69"/>
      <c r="D166" s="52" t="s">
        <v>30</v>
      </c>
      <c r="E166" s="25" t="s">
        <v>29</v>
      </c>
      <c r="F166" s="45" t="s">
        <v>22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48" customFormat="1" ht="15.75" x14ac:dyDescent="0.25">
      <c r="A167" s="62"/>
      <c r="B167" s="69"/>
      <c r="C167" s="69"/>
      <c r="D167" s="27" t="s">
        <v>31</v>
      </c>
      <c r="E167" s="7" t="s">
        <v>32</v>
      </c>
      <c r="F167" s="8" t="s">
        <v>22</v>
      </c>
      <c r="G167"/>
      <c r="H167" s="60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48" customFormat="1" x14ac:dyDescent="0.25">
      <c r="A168" s="62"/>
      <c r="B168" s="69"/>
      <c r="C168" s="69"/>
      <c r="D168" s="27" t="s">
        <v>33</v>
      </c>
      <c r="E168" s="25" t="s">
        <v>29</v>
      </c>
      <c r="F168" s="41" t="s">
        <v>22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48" customFormat="1" ht="39" x14ac:dyDescent="0.25">
      <c r="A169" s="62"/>
      <c r="B169" s="69"/>
      <c r="C169" s="69"/>
      <c r="D169" s="28" t="s">
        <v>34</v>
      </c>
      <c r="E169" s="25" t="s">
        <v>29</v>
      </c>
      <c r="F169" s="41" t="s">
        <v>22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48" customFormat="1" x14ac:dyDescent="0.25">
      <c r="A170" s="62"/>
      <c r="B170" s="69"/>
      <c r="C170" s="69"/>
      <c r="D170" s="27" t="s">
        <v>35</v>
      </c>
      <c r="E170" s="25" t="s">
        <v>29</v>
      </c>
      <c r="F170" s="41" t="s">
        <v>22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48" customFormat="1" x14ac:dyDescent="0.25">
      <c r="A171" s="62"/>
      <c r="B171" s="69"/>
      <c r="C171" s="69"/>
      <c r="D171" s="27" t="s">
        <v>57</v>
      </c>
      <c r="E171" s="25" t="s">
        <v>29</v>
      </c>
      <c r="F171" s="41" t="s">
        <v>22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48" customFormat="1" ht="26.25" x14ac:dyDescent="0.25">
      <c r="A172" s="62"/>
      <c r="B172" s="69"/>
      <c r="C172" s="69"/>
      <c r="D172" s="28" t="s">
        <v>37</v>
      </c>
      <c r="E172" s="25" t="s">
        <v>29</v>
      </c>
      <c r="F172" s="41" t="s">
        <v>22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48" customFormat="1" ht="31.5" customHeight="1" x14ac:dyDescent="0.25">
      <c r="A173" s="62"/>
      <c r="B173" s="69"/>
      <c r="C173" s="69"/>
      <c r="D173" s="64" t="s">
        <v>38</v>
      </c>
      <c r="E173" s="65"/>
      <c r="F173" s="66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48" customFormat="1" x14ac:dyDescent="0.25">
      <c r="A174" s="62"/>
      <c r="B174" s="69"/>
      <c r="C174" s="69"/>
      <c r="D174" s="27" t="s">
        <v>39</v>
      </c>
      <c r="E174" s="30" t="s">
        <v>40</v>
      </c>
      <c r="F174" s="8" t="s">
        <v>22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48" customFormat="1" x14ac:dyDescent="0.25">
      <c r="A175" s="62"/>
      <c r="B175" s="69"/>
      <c r="C175" s="69"/>
      <c r="D175" s="64" t="s">
        <v>41</v>
      </c>
      <c r="E175" s="65"/>
      <c r="F175" s="66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48" customFormat="1" x14ac:dyDescent="0.25">
      <c r="A176" s="62"/>
      <c r="B176" s="69"/>
      <c r="C176" s="69"/>
      <c r="D176" s="31" t="s">
        <v>42</v>
      </c>
      <c r="E176" s="32" t="s">
        <v>58</v>
      </c>
      <c r="F176" s="8" t="s">
        <v>22</v>
      </c>
      <c r="G176"/>
      <c r="H176" s="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48" customFormat="1" ht="33.75" customHeight="1" x14ac:dyDescent="0.25">
      <c r="A177" s="62"/>
      <c r="B177" s="69"/>
      <c r="C177" s="69"/>
      <c r="D177" s="67" t="s">
        <v>43</v>
      </c>
      <c r="E177" s="67"/>
      <c r="F177" s="67"/>
      <c r="G177"/>
      <c r="H177" s="42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48" customFormat="1" ht="26.25" x14ac:dyDescent="0.25">
      <c r="A178" s="62"/>
      <c r="B178" s="69"/>
      <c r="C178" s="69"/>
      <c r="D178" s="46" t="s">
        <v>44</v>
      </c>
      <c r="E178" s="25" t="s">
        <v>14</v>
      </c>
      <c r="F178" s="8">
        <f>20.3+8.2</f>
        <v>28.5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48" customFormat="1" x14ac:dyDescent="0.25">
      <c r="A179" s="62"/>
      <c r="B179" s="69"/>
      <c r="C179" s="69"/>
      <c r="D179" s="15" t="s">
        <v>15</v>
      </c>
      <c r="E179" s="16" t="s">
        <v>16</v>
      </c>
      <c r="F179" s="41">
        <f>4737900*0.2/132</f>
        <v>7178.636363636364</v>
      </c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48" customFormat="1" x14ac:dyDescent="0.25">
      <c r="A180" s="62"/>
      <c r="B180" s="69"/>
      <c r="C180" s="69"/>
      <c r="D180" s="18" t="s">
        <v>55</v>
      </c>
      <c r="E180" s="16" t="s">
        <v>16</v>
      </c>
      <c r="F180" s="41">
        <f>F179*30.2%</f>
        <v>2167.9481818181816</v>
      </c>
      <c r="G180"/>
      <c r="H180" s="42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48" customFormat="1" x14ac:dyDescent="0.25">
      <c r="A181" s="62"/>
      <c r="B181" s="69"/>
      <c r="C181" s="69"/>
      <c r="D181" s="67" t="s">
        <v>45</v>
      </c>
      <c r="E181" s="67"/>
      <c r="F181" s="67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48" customFormat="1" x14ac:dyDescent="0.25">
      <c r="A182" s="62"/>
      <c r="B182" s="69"/>
      <c r="C182" s="69"/>
      <c r="D182" s="36" t="s">
        <v>46</v>
      </c>
      <c r="E182" s="37" t="s">
        <v>16</v>
      </c>
      <c r="F182" s="41" t="s">
        <v>22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48" customFormat="1" x14ac:dyDescent="0.25">
      <c r="A183" s="62"/>
      <c r="B183" s="69"/>
      <c r="C183" s="69"/>
      <c r="D183" s="36" t="s">
        <v>47</v>
      </c>
      <c r="E183" s="37" t="s">
        <v>16</v>
      </c>
      <c r="F183" s="41" t="s">
        <v>22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48" customFormat="1" ht="26.25" x14ac:dyDescent="0.25">
      <c r="A184" s="62"/>
      <c r="B184" s="69"/>
      <c r="C184" s="69"/>
      <c r="D184" s="36" t="s">
        <v>64</v>
      </c>
      <c r="E184" s="37" t="s">
        <v>16</v>
      </c>
      <c r="F184" s="41" t="s">
        <v>22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48" customFormat="1" ht="39" x14ac:dyDescent="0.25">
      <c r="A185" s="62"/>
      <c r="B185" s="69"/>
      <c r="C185" s="69"/>
      <c r="D185" s="36" t="s">
        <v>49</v>
      </c>
      <c r="E185" s="37" t="s">
        <v>16</v>
      </c>
      <c r="F185" s="41" t="s">
        <v>22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48" customFormat="1" x14ac:dyDescent="0.25">
      <c r="A186" s="62"/>
      <c r="B186" s="69"/>
      <c r="C186" s="69"/>
      <c r="D186" s="36" t="s">
        <v>53</v>
      </c>
      <c r="E186" s="39" t="s">
        <v>16</v>
      </c>
      <c r="F186" s="41" t="s">
        <v>22</v>
      </c>
      <c r="G186"/>
      <c r="H186" s="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48" customFormat="1" ht="23.25" customHeight="1" x14ac:dyDescent="0.25">
      <c r="A187" s="63"/>
      <c r="B187" s="70"/>
      <c r="C187" s="70"/>
      <c r="D187" s="36" t="s">
        <v>52</v>
      </c>
      <c r="E187" s="39" t="s">
        <v>16</v>
      </c>
      <c r="F187" s="41" t="s">
        <v>22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48" customFormat="1" ht="29.25" customHeight="1" x14ac:dyDescent="0.25">
      <c r="A188" s="61" t="s">
        <v>73</v>
      </c>
      <c r="B188" s="77" t="s">
        <v>63</v>
      </c>
      <c r="C188" s="68" t="s">
        <v>10</v>
      </c>
      <c r="D188" s="64" t="s">
        <v>11</v>
      </c>
      <c r="E188" s="65"/>
      <c r="F188" s="66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48" customFormat="1" x14ac:dyDescent="0.25">
      <c r="A189" s="62"/>
      <c r="B189" s="78"/>
      <c r="C189" s="69"/>
      <c r="D189" s="67" t="s">
        <v>12</v>
      </c>
      <c r="E189" s="67"/>
      <c r="F189" s="67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48" customFormat="1" x14ac:dyDescent="0.25">
      <c r="A190" s="62"/>
      <c r="B190" s="78"/>
      <c r="C190" s="69"/>
      <c r="D190" s="40" t="s">
        <v>13</v>
      </c>
      <c r="E190" s="39" t="s">
        <v>14</v>
      </c>
      <c r="F190" s="41" t="s">
        <v>22</v>
      </c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48" customFormat="1" x14ac:dyDescent="0.25">
      <c r="A191" s="62"/>
      <c r="B191" s="78"/>
      <c r="C191" s="69"/>
      <c r="D191" s="15" t="s">
        <v>15</v>
      </c>
      <c r="E191" s="16" t="s">
        <v>16</v>
      </c>
      <c r="F191" s="41" t="s">
        <v>22</v>
      </c>
      <c r="G191"/>
      <c r="H191" s="6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48" customFormat="1" x14ac:dyDescent="0.25">
      <c r="A192" s="62"/>
      <c r="B192" s="78"/>
      <c r="C192" s="69"/>
      <c r="D192" s="18" t="s">
        <v>55</v>
      </c>
      <c r="E192" s="16" t="s">
        <v>16</v>
      </c>
      <c r="F192" s="41" t="s">
        <v>22</v>
      </c>
      <c r="G192"/>
      <c r="H192" s="6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48" customFormat="1" x14ac:dyDescent="0.25">
      <c r="A193" s="62"/>
      <c r="B193" s="78"/>
      <c r="C193" s="69"/>
      <c r="D193" s="64" t="s">
        <v>18</v>
      </c>
      <c r="E193" s="65"/>
      <c r="F193" s="66"/>
      <c r="G193"/>
      <c r="H193" s="6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48" customFormat="1" x14ac:dyDescent="0.25">
      <c r="A194" s="62"/>
      <c r="B194" s="78"/>
      <c r="C194" s="69"/>
      <c r="D194" s="64" t="s">
        <v>19</v>
      </c>
      <c r="E194" s="65"/>
      <c r="F194" s="66"/>
      <c r="G194"/>
      <c r="H194" s="6"/>
      <c r="I194" s="6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48" customFormat="1" x14ac:dyDescent="0.25">
      <c r="A195" s="62"/>
      <c r="B195" s="78"/>
      <c r="C195" s="69"/>
      <c r="D195" s="20" t="s">
        <v>20</v>
      </c>
      <c r="E195" s="21" t="s">
        <v>21</v>
      </c>
      <c r="F195" s="8">
        <f>5500000*0.39/70</f>
        <v>30642.857142857141</v>
      </c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48" customFormat="1" x14ac:dyDescent="0.25">
      <c r="A196" s="62"/>
      <c r="B196" s="78"/>
      <c r="C196" s="69"/>
      <c r="D196" s="20" t="s">
        <v>23</v>
      </c>
      <c r="E196" s="21" t="s">
        <v>24</v>
      </c>
      <c r="F196" s="8" t="s">
        <v>22</v>
      </c>
      <c r="G196"/>
      <c r="H196" s="42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48" customFormat="1" ht="15.75" x14ac:dyDescent="0.25">
      <c r="A197" s="62"/>
      <c r="B197" s="78"/>
      <c r="C197" s="69"/>
      <c r="D197" s="20" t="s">
        <v>25</v>
      </c>
      <c r="E197" s="21" t="s">
        <v>26</v>
      </c>
      <c r="F197" s="8">
        <f>80000*0.39/70</f>
        <v>445.71428571428572</v>
      </c>
      <c r="G197"/>
      <c r="H197" s="6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48" customFormat="1" x14ac:dyDescent="0.25">
      <c r="A198" s="62"/>
      <c r="B198" s="78"/>
      <c r="C198" s="69"/>
      <c r="D198" s="20" t="s">
        <v>56</v>
      </c>
      <c r="E198" s="21" t="s">
        <v>29</v>
      </c>
      <c r="F198" s="8">
        <f>60847.12*0.39/70</f>
        <v>339.00538285714288</v>
      </c>
      <c r="G198"/>
      <c r="H198" s="6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48" customFormat="1" ht="31.5" customHeight="1" x14ac:dyDescent="0.25">
      <c r="A199" s="62"/>
      <c r="B199" s="78"/>
      <c r="C199" s="69"/>
      <c r="D199" s="64" t="s">
        <v>27</v>
      </c>
      <c r="E199" s="65"/>
      <c r="F199" s="66"/>
      <c r="G199"/>
      <c r="H199" s="4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48" customFormat="1" x14ac:dyDescent="0.25">
      <c r="A200" s="62"/>
      <c r="B200" s="78"/>
      <c r="C200" s="69"/>
      <c r="D200" s="24" t="s">
        <v>28</v>
      </c>
      <c r="E200" s="25" t="s">
        <v>29</v>
      </c>
      <c r="F200" s="45" t="s">
        <v>22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48" customFormat="1" ht="15.75" x14ac:dyDescent="0.25">
      <c r="A201" s="62"/>
      <c r="B201" s="78"/>
      <c r="C201" s="69"/>
      <c r="D201" s="24" t="s">
        <v>30</v>
      </c>
      <c r="E201" s="25" t="s">
        <v>29</v>
      </c>
      <c r="F201" s="45" t="s">
        <v>22</v>
      </c>
      <c r="G201"/>
      <c r="H201" s="60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48" customFormat="1" x14ac:dyDescent="0.25">
      <c r="A202" s="62"/>
      <c r="B202" s="78"/>
      <c r="C202" s="69"/>
      <c r="D202" s="27" t="s">
        <v>31</v>
      </c>
      <c r="E202" s="7" t="s">
        <v>32</v>
      </c>
      <c r="F202" s="8" t="s">
        <v>22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48" customFormat="1" x14ac:dyDescent="0.25">
      <c r="A203" s="62"/>
      <c r="B203" s="78"/>
      <c r="C203" s="69"/>
      <c r="D203" s="27" t="s">
        <v>33</v>
      </c>
      <c r="E203" s="25" t="s">
        <v>29</v>
      </c>
      <c r="F203" s="41" t="s">
        <v>22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48" customFormat="1" ht="39" x14ac:dyDescent="0.25">
      <c r="A204" s="62"/>
      <c r="B204" s="78"/>
      <c r="C204" s="69"/>
      <c r="D204" s="28" t="s">
        <v>34</v>
      </c>
      <c r="E204" s="25" t="s">
        <v>29</v>
      </c>
      <c r="F204" s="41" t="s">
        <v>22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48" customFormat="1" x14ac:dyDescent="0.25">
      <c r="A205" s="62"/>
      <c r="B205" s="78"/>
      <c r="C205" s="69"/>
      <c r="D205" s="27" t="s">
        <v>35</v>
      </c>
      <c r="E205" s="25" t="s">
        <v>29</v>
      </c>
      <c r="F205" s="41" t="s">
        <v>22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48" customFormat="1" x14ac:dyDescent="0.25">
      <c r="A206" s="62"/>
      <c r="B206" s="78"/>
      <c r="C206" s="69"/>
      <c r="D206" s="27" t="s">
        <v>57</v>
      </c>
      <c r="E206" s="25" t="s">
        <v>29</v>
      </c>
      <c r="F206" s="41" t="s">
        <v>22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48" customFormat="1" ht="26.25" x14ac:dyDescent="0.25">
      <c r="A207" s="62"/>
      <c r="B207" s="78"/>
      <c r="C207" s="69"/>
      <c r="D207" s="28" t="s">
        <v>37</v>
      </c>
      <c r="E207" s="25" t="s">
        <v>29</v>
      </c>
      <c r="F207" s="41" t="s">
        <v>22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48" customFormat="1" ht="31.5" customHeight="1" x14ac:dyDescent="0.25">
      <c r="A208" s="62"/>
      <c r="B208" s="78"/>
      <c r="C208" s="69"/>
      <c r="D208" s="64" t="s">
        <v>38</v>
      </c>
      <c r="E208" s="65"/>
      <c r="F208" s="66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48" customFormat="1" x14ac:dyDescent="0.25">
      <c r="A209" s="62"/>
      <c r="B209" s="78"/>
      <c r="C209" s="69"/>
      <c r="D209" s="27" t="s">
        <v>39</v>
      </c>
      <c r="E209" s="30" t="s">
        <v>40</v>
      </c>
      <c r="F209" s="8" t="s">
        <v>22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48" customFormat="1" x14ac:dyDescent="0.25">
      <c r="A210" s="62"/>
      <c r="B210" s="78"/>
      <c r="C210" s="69"/>
      <c r="D210" s="64" t="s">
        <v>41</v>
      </c>
      <c r="E210" s="65"/>
      <c r="F210" s="66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48" customFormat="1" x14ac:dyDescent="0.25">
      <c r="A211" s="62"/>
      <c r="B211" s="78"/>
      <c r="C211" s="69"/>
      <c r="D211" s="31" t="s">
        <v>42</v>
      </c>
      <c r="E211" s="32" t="s">
        <v>58</v>
      </c>
      <c r="F211" s="8" t="s">
        <v>22</v>
      </c>
      <c r="G211"/>
      <c r="H211" s="6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48" customFormat="1" ht="33.75" customHeight="1" x14ac:dyDescent="0.25">
      <c r="A212" s="62"/>
      <c r="B212" s="78"/>
      <c r="C212" s="69"/>
      <c r="D212" s="67" t="s">
        <v>43</v>
      </c>
      <c r="E212" s="67"/>
      <c r="F212" s="67"/>
      <c r="G212"/>
      <c r="H212" s="4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48" customFormat="1" ht="26.25" x14ac:dyDescent="0.25">
      <c r="A213" s="62"/>
      <c r="B213" s="78"/>
      <c r="C213" s="69"/>
      <c r="D213" s="46" t="s">
        <v>44</v>
      </c>
      <c r="E213" s="25" t="s">
        <v>14</v>
      </c>
      <c r="F213" s="8">
        <f>20.3+8.2</f>
        <v>28.5</v>
      </c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48" customFormat="1" x14ac:dyDescent="0.25">
      <c r="A214" s="62"/>
      <c r="B214" s="78"/>
      <c r="C214" s="69"/>
      <c r="D214" s="15" t="s">
        <v>15</v>
      </c>
      <c r="E214" s="16" t="s">
        <v>16</v>
      </c>
      <c r="F214" s="41">
        <f>4737900*0.4/70</f>
        <v>27073.714285714286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48" customFormat="1" x14ac:dyDescent="0.25">
      <c r="A215" s="62"/>
      <c r="B215" s="78"/>
      <c r="C215" s="69"/>
      <c r="D215" s="18" t="s">
        <v>55</v>
      </c>
      <c r="E215" s="16" t="s">
        <v>16</v>
      </c>
      <c r="F215" s="41">
        <f>F214*30.2%</f>
        <v>8176.2617142857143</v>
      </c>
      <c r="G215"/>
      <c r="H215" s="42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s="48" customFormat="1" x14ac:dyDescent="0.25">
      <c r="A216" s="62"/>
      <c r="B216" s="78"/>
      <c r="C216" s="69"/>
      <c r="D216" s="67" t="s">
        <v>45</v>
      </c>
      <c r="E216" s="67"/>
      <c r="F216" s="67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s="48" customFormat="1" x14ac:dyDescent="0.25">
      <c r="A217" s="62"/>
      <c r="B217" s="78"/>
      <c r="C217" s="69"/>
      <c r="D217" s="36" t="s">
        <v>46</v>
      </c>
      <c r="E217" s="37" t="s">
        <v>16</v>
      </c>
      <c r="F217" s="41" t="s">
        <v>22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s="48" customFormat="1" x14ac:dyDescent="0.25">
      <c r="A218" s="62"/>
      <c r="B218" s="78"/>
      <c r="C218" s="69"/>
      <c r="D218" s="36" t="s">
        <v>47</v>
      </c>
      <c r="E218" s="37" t="s">
        <v>16</v>
      </c>
      <c r="F218" s="41" t="s">
        <v>22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s="48" customFormat="1" ht="26.25" x14ac:dyDescent="0.25">
      <c r="A219" s="62"/>
      <c r="B219" s="78"/>
      <c r="C219" s="69"/>
      <c r="D219" s="36" t="s">
        <v>64</v>
      </c>
      <c r="E219" s="37" t="s">
        <v>16</v>
      </c>
      <c r="F219" s="41" t="s">
        <v>22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s="48" customFormat="1" ht="39" x14ac:dyDescent="0.25">
      <c r="A220" s="62"/>
      <c r="B220" s="78"/>
      <c r="C220" s="69"/>
      <c r="D220" s="36" t="s">
        <v>49</v>
      </c>
      <c r="E220" s="37" t="s">
        <v>16</v>
      </c>
      <c r="F220" s="41" t="s">
        <v>22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s="48" customFormat="1" x14ac:dyDescent="0.25">
      <c r="A221" s="62"/>
      <c r="B221" s="78"/>
      <c r="C221" s="69"/>
      <c r="D221" s="36" t="s">
        <v>53</v>
      </c>
      <c r="E221" s="39" t="s">
        <v>16</v>
      </c>
      <c r="F221" s="41" t="s">
        <v>22</v>
      </c>
      <c r="G221"/>
      <c r="H221" s="6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s="48" customFormat="1" ht="23.25" customHeight="1" x14ac:dyDescent="0.25">
      <c r="A222" s="62"/>
      <c r="B222" s="78"/>
      <c r="C222" s="69"/>
      <c r="D222" s="36" t="s">
        <v>52</v>
      </c>
      <c r="E222" s="39" t="s">
        <v>16</v>
      </c>
      <c r="F222" s="41" t="s">
        <v>22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s="48" customFormat="1" ht="15" hidden="1" customHeight="1" x14ac:dyDescent="0.25">
      <c r="A223" s="63"/>
      <c r="B223" s="79"/>
      <c r="C223" s="70"/>
      <c r="D223" s="36" t="s">
        <v>35</v>
      </c>
      <c r="E223" s="39" t="s">
        <v>16</v>
      </c>
      <c r="F223" s="41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s="48" customFormat="1" ht="15" hidden="1" customHeight="1" x14ac:dyDescent="0.25">
      <c r="A224" s="53"/>
      <c r="B224" s="55"/>
      <c r="C224" s="54"/>
      <c r="D224" s="36" t="s">
        <v>35</v>
      </c>
      <c r="E224" s="39" t="s">
        <v>16</v>
      </c>
      <c r="F224" s="41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s="48" customFormat="1" ht="30.75" customHeight="1" x14ac:dyDescent="0.25">
      <c r="A225" s="61" t="s">
        <v>65</v>
      </c>
      <c r="B225" s="68" t="s">
        <v>66</v>
      </c>
      <c r="C225" s="68" t="s">
        <v>10</v>
      </c>
      <c r="D225" s="64" t="s">
        <v>11</v>
      </c>
      <c r="E225" s="65"/>
      <c r="F225" s="66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s="48" customFormat="1" x14ac:dyDescent="0.25">
      <c r="A226" s="62"/>
      <c r="B226" s="69"/>
      <c r="C226" s="69"/>
      <c r="D226" s="67" t="s">
        <v>12</v>
      </c>
      <c r="E226" s="67"/>
      <c r="F226" s="67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s="48" customFormat="1" x14ac:dyDescent="0.25">
      <c r="A227" s="62"/>
      <c r="B227" s="69"/>
      <c r="C227" s="69"/>
      <c r="D227" s="40" t="s">
        <v>67</v>
      </c>
      <c r="E227" s="39" t="s">
        <v>14</v>
      </c>
      <c r="F227" s="41">
        <f>F119</f>
        <v>52.980000000000004</v>
      </c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s="48" customFormat="1" x14ac:dyDescent="0.25">
      <c r="A228" s="62"/>
      <c r="B228" s="69"/>
      <c r="C228" s="69"/>
      <c r="D228" s="15" t="s">
        <v>15</v>
      </c>
      <c r="E228" s="16" t="s">
        <v>16</v>
      </c>
      <c r="F228" s="41">
        <f>1076240.03/109</f>
        <v>9873.7617431192666</v>
      </c>
      <c r="G228" s="42"/>
      <c r="H228" s="6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s="48" customFormat="1" x14ac:dyDescent="0.25">
      <c r="A229" s="62"/>
      <c r="B229" s="69"/>
      <c r="C229" s="69"/>
      <c r="D229" s="18" t="s">
        <v>55</v>
      </c>
      <c r="E229" s="16" t="s">
        <v>16</v>
      </c>
      <c r="F229" s="41">
        <f>F228*30.2%</f>
        <v>2981.8760464220186</v>
      </c>
      <c r="G229"/>
      <c r="H229" s="6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s="48" customFormat="1" x14ac:dyDescent="0.25">
      <c r="A230" s="62"/>
      <c r="B230" s="69"/>
      <c r="C230" s="69"/>
      <c r="D230" s="64" t="s">
        <v>18</v>
      </c>
      <c r="E230" s="65"/>
      <c r="F230" s="66"/>
      <c r="G230"/>
      <c r="H230" s="6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1:26" s="48" customFormat="1" x14ac:dyDescent="0.25">
      <c r="A231" s="62"/>
      <c r="B231" s="69"/>
      <c r="C231" s="69"/>
      <c r="D231" s="64" t="s">
        <v>19</v>
      </c>
      <c r="E231" s="65"/>
      <c r="F231" s="66"/>
      <c r="G231"/>
      <c r="H231" s="6"/>
      <c r="I231" s="6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1:26" s="48" customFormat="1" x14ac:dyDescent="0.25">
      <c r="A232" s="62"/>
      <c r="B232" s="69"/>
      <c r="C232" s="69"/>
      <c r="D232" s="20" t="s">
        <v>20</v>
      </c>
      <c r="E232" s="21" t="s">
        <v>21</v>
      </c>
      <c r="F232" s="8" t="s">
        <v>22</v>
      </c>
      <c r="G232"/>
      <c r="H232" s="49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1:26" s="48" customFormat="1" x14ac:dyDescent="0.25">
      <c r="A233" s="62"/>
      <c r="B233" s="69"/>
      <c r="C233" s="69"/>
      <c r="D233" s="20" t="s">
        <v>23</v>
      </c>
      <c r="E233" s="21" t="s">
        <v>24</v>
      </c>
      <c r="F233" s="8" t="s">
        <v>22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1:26" s="48" customFormat="1" ht="15.75" x14ac:dyDescent="0.25">
      <c r="A234" s="62"/>
      <c r="B234" s="69"/>
      <c r="C234" s="69"/>
      <c r="D234" s="20" t="s">
        <v>25</v>
      </c>
      <c r="E234" s="21" t="s">
        <v>26</v>
      </c>
      <c r="F234" s="8" t="s">
        <v>22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1:26" s="48" customFormat="1" ht="37.5" customHeight="1" x14ac:dyDescent="0.25">
      <c r="A235" s="62"/>
      <c r="B235" s="69"/>
      <c r="C235" s="69"/>
      <c r="D235" s="64" t="s">
        <v>27</v>
      </c>
      <c r="E235" s="65"/>
      <c r="F235" s="66"/>
      <c r="G235"/>
      <c r="H235" s="6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1:26" s="48" customFormat="1" x14ac:dyDescent="0.25">
      <c r="A236" s="62"/>
      <c r="B236" s="69"/>
      <c r="C236" s="69"/>
      <c r="D236" s="24" t="s">
        <v>28</v>
      </c>
      <c r="E236" s="25" t="s">
        <v>29</v>
      </c>
      <c r="F236" s="45" t="s">
        <v>22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1:26" s="48" customFormat="1" x14ac:dyDescent="0.25">
      <c r="A237" s="62"/>
      <c r="B237" s="69"/>
      <c r="C237" s="69"/>
      <c r="D237" s="24" t="s">
        <v>30</v>
      </c>
      <c r="E237" s="25" t="s">
        <v>29</v>
      </c>
      <c r="F237" s="45" t="s">
        <v>22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1:26" s="48" customFormat="1" x14ac:dyDescent="0.25">
      <c r="A238" s="62"/>
      <c r="B238" s="69"/>
      <c r="C238" s="69"/>
      <c r="D238" s="27" t="s">
        <v>31</v>
      </c>
      <c r="E238" s="7" t="s">
        <v>32</v>
      </c>
      <c r="F238" s="8" t="s">
        <v>22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1:26" s="48" customFormat="1" x14ac:dyDescent="0.25">
      <c r="A239" s="62"/>
      <c r="B239" s="69"/>
      <c r="C239" s="69"/>
      <c r="D239" s="27" t="s">
        <v>33</v>
      </c>
      <c r="E239" s="25" t="s">
        <v>29</v>
      </c>
      <c r="F239" s="41" t="s">
        <v>22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1:26" s="48" customFormat="1" ht="39" x14ac:dyDescent="0.25">
      <c r="A240" s="62"/>
      <c r="B240" s="69"/>
      <c r="C240" s="69"/>
      <c r="D240" s="28" t="s">
        <v>34</v>
      </c>
      <c r="E240" s="25" t="s">
        <v>29</v>
      </c>
      <c r="F240" s="41" t="s">
        <v>22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1:26" s="48" customFormat="1" x14ac:dyDescent="0.25">
      <c r="A241" s="62"/>
      <c r="B241" s="69"/>
      <c r="C241" s="69"/>
      <c r="D241" s="27" t="s">
        <v>35</v>
      </c>
      <c r="E241" s="25" t="s">
        <v>29</v>
      </c>
      <c r="F241" s="41" t="s">
        <v>22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1:26" s="48" customFormat="1" x14ac:dyDescent="0.25">
      <c r="A242" s="62"/>
      <c r="B242" s="69"/>
      <c r="C242" s="69"/>
      <c r="D242" s="27" t="s">
        <v>57</v>
      </c>
      <c r="E242" s="25" t="s">
        <v>29</v>
      </c>
      <c r="F242" s="41" t="s">
        <v>22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1:26" s="48" customFormat="1" ht="26.25" x14ac:dyDescent="0.25">
      <c r="A243" s="62"/>
      <c r="B243" s="69"/>
      <c r="C243" s="69"/>
      <c r="D243" s="28" t="s">
        <v>37</v>
      </c>
      <c r="E243" s="25" t="s">
        <v>29</v>
      </c>
      <c r="F243" s="41" t="s">
        <v>22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1:26" s="48" customFormat="1" ht="26.25" customHeight="1" x14ac:dyDescent="0.25">
      <c r="A244" s="62"/>
      <c r="B244" s="69"/>
      <c r="C244" s="69"/>
      <c r="D244" s="64" t="s">
        <v>38</v>
      </c>
      <c r="E244" s="65"/>
      <c r="F244" s="66"/>
      <c r="G244"/>
      <c r="H244" s="42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1:26" s="48" customFormat="1" x14ac:dyDescent="0.25">
      <c r="A245" s="62"/>
      <c r="B245" s="69"/>
      <c r="C245" s="69"/>
      <c r="D245" s="27" t="s">
        <v>39</v>
      </c>
      <c r="E245" s="30" t="s">
        <v>40</v>
      </c>
      <c r="F245" s="8" t="s">
        <v>22</v>
      </c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1:26" s="48" customFormat="1" x14ac:dyDescent="0.25">
      <c r="A246" s="62"/>
      <c r="B246" s="69"/>
      <c r="C246" s="69"/>
      <c r="D246" s="64" t="s">
        <v>41</v>
      </c>
      <c r="E246" s="65"/>
      <c r="F246" s="6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26" s="48" customFormat="1" x14ac:dyDescent="0.25">
      <c r="A247" s="62"/>
      <c r="B247" s="69"/>
      <c r="C247" s="69"/>
      <c r="D247" s="31" t="s">
        <v>42</v>
      </c>
      <c r="E247" s="32" t="s">
        <v>58</v>
      </c>
      <c r="F247" s="8" t="s">
        <v>22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26" s="48" customFormat="1" ht="26.25" customHeight="1" x14ac:dyDescent="0.25">
      <c r="A248" s="62"/>
      <c r="B248" s="69"/>
      <c r="C248" s="69"/>
      <c r="D248" s="67" t="s">
        <v>43</v>
      </c>
      <c r="E248" s="67"/>
      <c r="F248" s="67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6" s="48" customFormat="1" ht="26.25" x14ac:dyDescent="0.25">
      <c r="A249" s="62"/>
      <c r="B249" s="69"/>
      <c r="C249" s="69"/>
      <c r="D249" s="46" t="s">
        <v>44</v>
      </c>
      <c r="E249" s="25" t="s">
        <v>14</v>
      </c>
      <c r="F249" s="8" t="s">
        <v>22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6" s="48" customFormat="1" x14ac:dyDescent="0.25">
      <c r="A250" s="62"/>
      <c r="B250" s="69"/>
      <c r="C250" s="69"/>
      <c r="D250" s="15" t="s">
        <v>15</v>
      </c>
      <c r="E250" s="16" t="s">
        <v>16</v>
      </c>
      <c r="F250" s="8" t="s">
        <v>22</v>
      </c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6" s="48" customFormat="1" x14ac:dyDescent="0.25">
      <c r="A251" s="62"/>
      <c r="B251" s="69"/>
      <c r="C251" s="69"/>
      <c r="D251" s="18" t="s">
        <v>55</v>
      </c>
      <c r="E251" s="16" t="s">
        <v>16</v>
      </c>
      <c r="F251" s="8" t="s">
        <v>22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6" s="48" customFormat="1" x14ac:dyDescent="0.25">
      <c r="A252" s="62"/>
      <c r="B252" s="69"/>
      <c r="C252" s="69"/>
      <c r="D252" s="67" t="s">
        <v>45</v>
      </c>
      <c r="E252" s="67"/>
      <c r="F252" s="67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6" s="48" customFormat="1" x14ac:dyDescent="0.25">
      <c r="A253" s="62"/>
      <c r="B253" s="69"/>
      <c r="C253" s="69"/>
      <c r="D253" s="36" t="s">
        <v>46</v>
      </c>
      <c r="E253" s="37" t="s">
        <v>16</v>
      </c>
      <c r="F253" s="41" t="s">
        <v>22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6" s="48" customFormat="1" x14ac:dyDescent="0.25">
      <c r="A254" s="62"/>
      <c r="B254" s="69"/>
      <c r="C254" s="69"/>
      <c r="D254" s="36" t="s">
        <v>47</v>
      </c>
      <c r="E254" s="37" t="s">
        <v>16</v>
      </c>
      <c r="F254" s="41" t="s">
        <v>22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6" s="48" customFormat="1" ht="26.25" x14ac:dyDescent="0.25">
      <c r="A255" s="62"/>
      <c r="B255" s="69"/>
      <c r="C255" s="69"/>
      <c r="D255" s="36" t="s">
        <v>64</v>
      </c>
      <c r="E255" s="37" t="s">
        <v>16</v>
      </c>
      <c r="F255" s="41" t="s">
        <v>22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6" s="48" customFormat="1" ht="39" x14ac:dyDescent="0.25">
      <c r="A256" s="62"/>
      <c r="B256" s="69"/>
      <c r="C256" s="69"/>
      <c r="D256" s="36" t="s">
        <v>49</v>
      </c>
      <c r="E256" s="37" t="s">
        <v>16</v>
      </c>
      <c r="F256" s="41" t="s">
        <v>22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48" customFormat="1" x14ac:dyDescent="0.25">
      <c r="A257" s="62"/>
      <c r="B257" s="69"/>
      <c r="C257" s="69"/>
      <c r="D257" s="36" t="s">
        <v>50</v>
      </c>
      <c r="E257" s="37" t="s">
        <v>51</v>
      </c>
      <c r="F257" s="41" t="s">
        <v>22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48" customFormat="1" ht="26.25" x14ac:dyDescent="0.25">
      <c r="A258" s="62"/>
      <c r="B258" s="69"/>
      <c r="C258" s="69"/>
      <c r="D258" s="36" t="s">
        <v>52</v>
      </c>
      <c r="E258" s="39" t="s">
        <v>16</v>
      </c>
      <c r="F258" s="41" t="s">
        <v>22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48" customFormat="1" x14ac:dyDescent="0.25">
      <c r="A259" s="63"/>
      <c r="B259" s="70"/>
      <c r="C259" s="70"/>
      <c r="D259" s="36" t="s">
        <v>35</v>
      </c>
      <c r="E259" s="39" t="s">
        <v>16</v>
      </c>
      <c r="F259" s="41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48" customFormat="1" ht="21.75" customHeight="1" x14ac:dyDescent="0.25">
      <c r="A260" s="61" t="s">
        <v>68</v>
      </c>
      <c r="B260" s="68" t="s">
        <v>69</v>
      </c>
      <c r="C260" s="68" t="s">
        <v>10</v>
      </c>
      <c r="D260" s="64" t="s">
        <v>11</v>
      </c>
      <c r="E260" s="65"/>
      <c r="F260" s="66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48" customFormat="1" x14ac:dyDescent="0.25">
      <c r="A261" s="62"/>
      <c r="B261" s="69"/>
      <c r="C261" s="69"/>
      <c r="D261" s="67" t="s">
        <v>12</v>
      </c>
      <c r="E261" s="67"/>
      <c r="F261" s="67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48" customFormat="1" x14ac:dyDescent="0.25">
      <c r="A262" s="62"/>
      <c r="B262" s="69"/>
      <c r="C262" s="69"/>
      <c r="D262" s="40" t="s">
        <v>67</v>
      </c>
      <c r="E262" s="39" t="s">
        <v>14</v>
      </c>
      <c r="F262" s="41" t="s">
        <v>22</v>
      </c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48" customFormat="1" x14ac:dyDescent="0.25">
      <c r="A263" s="62"/>
      <c r="B263" s="69"/>
      <c r="C263" s="69"/>
      <c r="D263" s="15" t="s">
        <v>15</v>
      </c>
      <c r="E263" s="16" t="s">
        <v>16</v>
      </c>
      <c r="F263" s="41" t="s">
        <v>22</v>
      </c>
      <c r="G263"/>
      <c r="H263" s="6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4" spans="1:23" s="48" customFormat="1" x14ac:dyDescent="0.25">
      <c r="A264" s="62"/>
      <c r="B264" s="69"/>
      <c r="C264" s="69"/>
      <c r="D264" s="18" t="s">
        <v>55</v>
      </c>
      <c r="E264" s="16" t="s">
        <v>16</v>
      </c>
      <c r="F264" s="41" t="s">
        <v>22</v>
      </c>
      <c r="G264"/>
      <c r="H264" s="6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</row>
    <row r="265" spans="1:23" s="48" customFormat="1" x14ac:dyDescent="0.25">
      <c r="A265" s="62"/>
      <c r="B265" s="69"/>
      <c r="C265" s="69"/>
      <c r="D265" s="64" t="s">
        <v>18</v>
      </c>
      <c r="E265" s="65"/>
      <c r="F265" s="66"/>
      <c r="G265"/>
      <c r="H265" s="6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</row>
    <row r="266" spans="1:23" s="48" customFormat="1" x14ac:dyDescent="0.25">
      <c r="A266" s="62"/>
      <c r="B266" s="69"/>
      <c r="C266" s="69"/>
      <c r="D266" s="64" t="s">
        <v>19</v>
      </c>
      <c r="E266" s="65"/>
      <c r="F266" s="66"/>
      <c r="G266"/>
      <c r="H266" s="6"/>
      <c r="I266" s="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</row>
    <row r="267" spans="1:23" s="48" customFormat="1" x14ac:dyDescent="0.25">
      <c r="A267" s="62"/>
      <c r="B267" s="69"/>
      <c r="C267" s="69"/>
      <c r="D267" s="20" t="s">
        <v>20</v>
      </c>
      <c r="E267" s="21" t="s">
        <v>21</v>
      </c>
      <c r="F267" s="8" t="s">
        <v>22</v>
      </c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</row>
    <row r="268" spans="1:23" s="48" customFormat="1" x14ac:dyDescent="0.25">
      <c r="A268" s="62"/>
      <c r="B268" s="69"/>
      <c r="C268" s="69"/>
      <c r="D268" s="20" t="s">
        <v>23</v>
      </c>
      <c r="E268" s="21" t="s">
        <v>24</v>
      </c>
      <c r="F268" s="8" t="s">
        <v>22</v>
      </c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</row>
    <row r="269" spans="1:23" s="48" customFormat="1" ht="15.75" x14ac:dyDescent="0.25">
      <c r="A269" s="62"/>
      <c r="B269" s="69"/>
      <c r="C269" s="69"/>
      <c r="D269" s="20" t="s">
        <v>25</v>
      </c>
      <c r="E269" s="21" t="s">
        <v>26</v>
      </c>
      <c r="F269" s="8" t="s">
        <v>22</v>
      </c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</row>
    <row r="270" spans="1:23" s="48" customFormat="1" ht="30.75" customHeight="1" x14ac:dyDescent="0.25">
      <c r="A270" s="62"/>
      <c r="B270" s="69"/>
      <c r="C270" s="69"/>
      <c r="D270" s="64" t="s">
        <v>27</v>
      </c>
      <c r="E270" s="65"/>
      <c r="F270" s="66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</row>
    <row r="271" spans="1:23" s="48" customFormat="1" x14ac:dyDescent="0.25">
      <c r="A271" s="62"/>
      <c r="B271" s="69"/>
      <c r="C271" s="69"/>
      <c r="D271" s="24" t="s">
        <v>28</v>
      </c>
      <c r="E271" s="25" t="s">
        <v>29</v>
      </c>
      <c r="F271" s="45" t="s">
        <v>22</v>
      </c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</row>
    <row r="272" spans="1:23" s="48" customFormat="1" x14ac:dyDescent="0.25">
      <c r="A272" s="62"/>
      <c r="B272" s="69"/>
      <c r="C272" s="69"/>
      <c r="D272" s="24" t="s">
        <v>30</v>
      </c>
      <c r="E272" s="25" t="s">
        <v>29</v>
      </c>
      <c r="F272" s="45" t="s">
        <v>22</v>
      </c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</row>
    <row r="273" spans="1:23" s="48" customFormat="1" x14ac:dyDescent="0.25">
      <c r="A273" s="62"/>
      <c r="B273" s="69"/>
      <c r="C273" s="69"/>
      <c r="D273" s="27" t="s">
        <v>31</v>
      </c>
      <c r="E273" s="7" t="s">
        <v>32</v>
      </c>
      <c r="F273" s="45" t="s">
        <v>22</v>
      </c>
      <c r="G273"/>
      <c r="H273" s="6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</row>
    <row r="274" spans="1:23" s="48" customFormat="1" x14ac:dyDescent="0.25">
      <c r="A274" s="62"/>
      <c r="B274" s="69"/>
      <c r="C274" s="69"/>
      <c r="D274" s="27" t="s">
        <v>33</v>
      </c>
      <c r="E274" s="25" t="s">
        <v>29</v>
      </c>
      <c r="F274" s="45" t="s">
        <v>22</v>
      </c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</row>
    <row r="275" spans="1:23" s="48" customFormat="1" ht="39" x14ac:dyDescent="0.25">
      <c r="A275" s="62"/>
      <c r="B275" s="69"/>
      <c r="C275" s="69"/>
      <c r="D275" s="28" t="s">
        <v>34</v>
      </c>
      <c r="E275" s="25" t="s">
        <v>29</v>
      </c>
      <c r="F275" s="45" t="s">
        <v>22</v>
      </c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s="48" customFormat="1" x14ac:dyDescent="0.25">
      <c r="A276" s="62"/>
      <c r="B276" s="69"/>
      <c r="C276" s="69"/>
      <c r="D276" s="27" t="s">
        <v>35</v>
      </c>
      <c r="E276" s="25" t="s">
        <v>29</v>
      </c>
      <c r="F276" s="45" t="s">
        <v>22</v>
      </c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</row>
    <row r="277" spans="1:23" s="48" customFormat="1" x14ac:dyDescent="0.25">
      <c r="A277" s="62"/>
      <c r="B277" s="69"/>
      <c r="C277" s="69"/>
      <c r="D277" s="27" t="s">
        <v>57</v>
      </c>
      <c r="E277" s="25" t="s">
        <v>29</v>
      </c>
      <c r="F277" s="45" t="s">
        <v>22</v>
      </c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</row>
    <row r="278" spans="1:23" s="48" customFormat="1" ht="26.25" x14ac:dyDescent="0.25">
      <c r="A278" s="62"/>
      <c r="B278" s="69"/>
      <c r="C278" s="69"/>
      <c r="D278" s="28" t="s">
        <v>37</v>
      </c>
      <c r="E278" s="25" t="s">
        <v>29</v>
      </c>
      <c r="F278" s="45" t="s">
        <v>22</v>
      </c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s="48" customFormat="1" ht="29.25" customHeight="1" x14ac:dyDescent="0.25">
      <c r="A279" s="62"/>
      <c r="B279" s="69"/>
      <c r="C279" s="69"/>
      <c r="D279" s="64" t="s">
        <v>38</v>
      </c>
      <c r="E279" s="65"/>
      <c r="F279" s="66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s="48" customFormat="1" x14ac:dyDescent="0.25">
      <c r="A280" s="62"/>
      <c r="B280" s="69"/>
      <c r="C280" s="69"/>
      <c r="D280" s="27" t="s">
        <v>39</v>
      </c>
      <c r="E280" s="30" t="s">
        <v>40</v>
      </c>
      <c r="F280" s="8" t="s">
        <v>22</v>
      </c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s="48" customFormat="1" x14ac:dyDescent="0.25">
      <c r="A281" s="62"/>
      <c r="B281" s="69"/>
      <c r="C281" s="69"/>
      <c r="D281" s="64" t="s">
        <v>41</v>
      </c>
      <c r="E281" s="65"/>
      <c r="F281" s="66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s="48" customFormat="1" x14ac:dyDescent="0.25">
      <c r="A282" s="62"/>
      <c r="B282" s="69"/>
      <c r="C282" s="69"/>
      <c r="D282" s="31" t="s">
        <v>42</v>
      </c>
      <c r="E282" s="32" t="s">
        <v>58</v>
      </c>
      <c r="F282" s="8" t="s">
        <v>22</v>
      </c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s="48" customFormat="1" ht="28.5" customHeight="1" x14ac:dyDescent="0.25">
      <c r="A283" s="62"/>
      <c r="B283" s="69"/>
      <c r="C283" s="69"/>
      <c r="D283" s="67" t="s">
        <v>43</v>
      </c>
      <c r="E283" s="67"/>
      <c r="F283" s="67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s="48" customFormat="1" ht="26.25" x14ac:dyDescent="0.25">
      <c r="A284" s="62"/>
      <c r="B284" s="69"/>
      <c r="C284" s="69"/>
      <c r="D284" s="46" t="s">
        <v>44</v>
      </c>
      <c r="E284" s="25" t="s">
        <v>14</v>
      </c>
      <c r="F284" s="8" t="s">
        <v>22</v>
      </c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s="48" customFormat="1" x14ac:dyDescent="0.25">
      <c r="A285" s="62"/>
      <c r="B285" s="69"/>
      <c r="C285" s="69"/>
      <c r="D285" s="50" t="s">
        <v>70</v>
      </c>
      <c r="E285" s="25" t="s">
        <v>71</v>
      </c>
      <c r="F285" s="8" t="s">
        <v>22</v>
      </c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s="48" customFormat="1" x14ac:dyDescent="0.25">
      <c r="A286" s="62"/>
      <c r="B286" s="69"/>
      <c r="C286" s="69"/>
      <c r="D286" s="15" t="s">
        <v>15</v>
      </c>
      <c r="E286" s="16" t="s">
        <v>16</v>
      </c>
      <c r="F286" s="8" t="s">
        <v>22</v>
      </c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s="48" customFormat="1" x14ac:dyDescent="0.25">
      <c r="A287" s="62"/>
      <c r="B287" s="69"/>
      <c r="C287" s="69"/>
      <c r="D287" s="18" t="s">
        <v>55</v>
      </c>
      <c r="E287" s="16" t="s">
        <v>16</v>
      </c>
      <c r="F287" s="8" t="s">
        <v>22</v>
      </c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s="48" customFormat="1" x14ac:dyDescent="0.25">
      <c r="A288" s="62"/>
      <c r="B288" s="69"/>
      <c r="C288" s="69"/>
      <c r="D288" s="67" t="s">
        <v>45</v>
      </c>
      <c r="E288" s="67"/>
      <c r="F288" s="67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s="48" customFormat="1" x14ac:dyDescent="0.25">
      <c r="A289" s="62"/>
      <c r="B289" s="69"/>
      <c r="C289" s="69"/>
      <c r="D289" s="36" t="s">
        <v>46</v>
      </c>
      <c r="E289" s="37" t="s">
        <v>16</v>
      </c>
      <c r="F289" s="41" t="s">
        <v>22</v>
      </c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s="48" customFormat="1" x14ac:dyDescent="0.25">
      <c r="A290" s="62"/>
      <c r="B290" s="69"/>
      <c r="C290" s="69"/>
      <c r="D290" s="36" t="s">
        <v>47</v>
      </c>
      <c r="E290" s="37" t="s">
        <v>16</v>
      </c>
      <c r="F290" s="41" t="s">
        <v>22</v>
      </c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s="48" customFormat="1" x14ac:dyDescent="0.25">
      <c r="A291" s="62"/>
      <c r="B291" s="69"/>
      <c r="C291" s="69"/>
      <c r="D291" s="36" t="s">
        <v>72</v>
      </c>
      <c r="E291" s="37" t="s">
        <v>16</v>
      </c>
      <c r="F291" s="41">
        <f>139607/45</f>
        <v>3102.3777777777777</v>
      </c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s="48" customFormat="1" ht="39" x14ac:dyDescent="0.25">
      <c r="A292" s="62"/>
      <c r="B292" s="69"/>
      <c r="C292" s="69"/>
      <c r="D292" s="36" t="s">
        <v>49</v>
      </c>
      <c r="E292" s="37" t="s">
        <v>16</v>
      </c>
      <c r="F292" s="41" t="s">
        <v>22</v>
      </c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s="48" customFormat="1" x14ac:dyDescent="0.25">
      <c r="A293" s="62"/>
      <c r="B293" s="69"/>
      <c r="C293" s="69"/>
      <c r="D293" s="36" t="s">
        <v>50</v>
      </c>
      <c r="E293" s="37" t="s">
        <v>51</v>
      </c>
      <c r="F293" s="41" t="s">
        <v>22</v>
      </c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s="48" customFormat="1" ht="26.25" x14ac:dyDescent="0.25">
      <c r="A294" s="62"/>
      <c r="B294" s="69"/>
      <c r="C294" s="69"/>
      <c r="D294" s="36" t="s">
        <v>52</v>
      </c>
      <c r="E294" s="39" t="s">
        <v>16</v>
      </c>
      <c r="F294" s="41" t="s">
        <v>22</v>
      </c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s="48" customFormat="1" x14ac:dyDescent="0.25">
      <c r="A295" s="63"/>
      <c r="B295" s="70"/>
      <c r="C295" s="70"/>
      <c r="D295" s="36" t="s">
        <v>35</v>
      </c>
      <c r="E295" s="39" t="s">
        <v>16</v>
      </c>
      <c r="F295" s="41" t="s">
        <v>22</v>
      </c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9" spans="1:23" x14ac:dyDescent="0.25">
      <c r="H299" s="6"/>
    </row>
    <row r="301" spans="1:23" x14ac:dyDescent="0.25">
      <c r="H301" s="6"/>
    </row>
  </sheetData>
  <mergeCells count="100">
    <mergeCell ref="D281:F281"/>
    <mergeCell ref="D283:F283"/>
    <mergeCell ref="D288:F288"/>
    <mergeCell ref="D244:F244"/>
    <mergeCell ref="D246:F246"/>
    <mergeCell ref="D248:F248"/>
    <mergeCell ref="D252:F252"/>
    <mergeCell ref="D231:F231"/>
    <mergeCell ref="D235:F235"/>
    <mergeCell ref="D266:F266"/>
    <mergeCell ref="D270:F270"/>
    <mergeCell ref="D279:F279"/>
    <mergeCell ref="D208:F208"/>
    <mergeCell ref="D210:F210"/>
    <mergeCell ref="D212:F212"/>
    <mergeCell ref="D216:F216"/>
    <mergeCell ref="A260:A295"/>
    <mergeCell ref="B260:B295"/>
    <mergeCell ref="C260:C295"/>
    <mergeCell ref="D260:F260"/>
    <mergeCell ref="D261:F261"/>
    <mergeCell ref="D265:F265"/>
    <mergeCell ref="A225:A259"/>
    <mergeCell ref="B225:B259"/>
    <mergeCell ref="C225:C259"/>
    <mergeCell ref="D225:F225"/>
    <mergeCell ref="D226:F226"/>
    <mergeCell ref="D230:F230"/>
    <mergeCell ref="D141:F141"/>
    <mergeCell ref="D145:F145"/>
    <mergeCell ref="A188:A223"/>
    <mergeCell ref="B188:B223"/>
    <mergeCell ref="C188:C223"/>
    <mergeCell ref="D188:F188"/>
    <mergeCell ref="D189:F189"/>
    <mergeCell ref="D193:F193"/>
    <mergeCell ref="D194:F194"/>
    <mergeCell ref="D199:F199"/>
    <mergeCell ref="A117:A152"/>
    <mergeCell ref="B117:B152"/>
    <mergeCell ref="C117:C152"/>
    <mergeCell ref="D117:F117"/>
    <mergeCell ref="D118:F118"/>
    <mergeCell ref="D122:F122"/>
    <mergeCell ref="D137:F137"/>
    <mergeCell ref="D139:F139"/>
    <mergeCell ref="D87:F87"/>
    <mergeCell ref="D92:F92"/>
    <mergeCell ref="D101:F101"/>
    <mergeCell ref="D103:F103"/>
    <mergeCell ref="D105:F105"/>
    <mergeCell ref="D109:F109"/>
    <mergeCell ref="D123:F123"/>
    <mergeCell ref="D128:F128"/>
    <mergeCell ref="A45:A80"/>
    <mergeCell ref="B45:B80"/>
    <mergeCell ref="C45:C80"/>
    <mergeCell ref="D45:F45"/>
    <mergeCell ref="D46:F46"/>
    <mergeCell ref="D50:F50"/>
    <mergeCell ref="D51:F51"/>
    <mergeCell ref="D56:F56"/>
    <mergeCell ref="D65:F65"/>
    <mergeCell ref="D67:F67"/>
    <mergeCell ref="D69:F69"/>
    <mergeCell ref="D73:F73"/>
    <mergeCell ref="A81:A116"/>
    <mergeCell ref="B81:B116"/>
    <mergeCell ref="C81:C116"/>
    <mergeCell ref="D81:F81"/>
    <mergeCell ref="D82:F82"/>
    <mergeCell ref="D86:F86"/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  <mergeCell ref="D15:F15"/>
    <mergeCell ref="D19:F19"/>
    <mergeCell ref="D28:F28"/>
    <mergeCell ref="D30:F30"/>
    <mergeCell ref="D32:F32"/>
    <mergeCell ref="A153:A187"/>
    <mergeCell ref="D153:F153"/>
    <mergeCell ref="D154:F154"/>
    <mergeCell ref="D158:F158"/>
    <mergeCell ref="D159:F159"/>
    <mergeCell ref="D164:F164"/>
    <mergeCell ref="D173:F173"/>
    <mergeCell ref="D175:F175"/>
    <mergeCell ref="D177:F177"/>
    <mergeCell ref="D181:F181"/>
    <mergeCell ref="B153:B187"/>
    <mergeCell ref="C153:C187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Сохновская СОШ 2021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2020-03-18T12:38:19Z</dcterms:created>
  <dcterms:modified xsi:type="dcterms:W3CDTF">2023-03-15T03:09:28Z</dcterms:modified>
</cp:coreProperties>
</file>