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Подсосенская СОШ 2022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94" i="1"/>
  <c r="F228" i="1"/>
  <c r="F215" i="1"/>
  <c r="F179" i="1"/>
  <c r="F143" i="1"/>
  <c r="F107" i="1"/>
  <c r="F71" i="1"/>
  <c r="F120" i="1"/>
  <c r="F84" i="1"/>
  <c r="F48" i="1"/>
  <c r="F34" i="1"/>
  <c r="F12" i="1"/>
  <c r="F44" i="1" l="1"/>
  <c r="F202" i="1" l="1"/>
  <c r="F201" i="1"/>
  <c r="F188" i="1"/>
  <c r="F186" i="1"/>
  <c r="F166" i="1"/>
  <c r="F165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229" i="1" l="1"/>
  <c r="F224" i="1"/>
  <c r="F222" i="1"/>
  <c r="F152" i="1"/>
  <c r="F151" i="1"/>
  <c r="F149" i="1"/>
  <c r="F148" i="1"/>
  <c r="F147" i="1"/>
  <c r="F146" i="1"/>
  <c r="F104" i="1"/>
  <c r="F68" i="1"/>
  <c r="F49" i="1"/>
  <c r="F43" i="1"/>
  <c r="F27" i="1"/>
  <c r="F26" i="1"/>
  <c r="F25" i="1"/>
  <c r="F24" i="1"/>
  <c r="F23" i="1"/>
  <c r="F21" i="1"/>
  <c r="F20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<sst xmlns="http://schemas.openxmlformats.org/spreadsheetml/2006/main" count="630" uniqueCount="81">
  <si>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</si>
  <si>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</si>
  <si>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"Подсосенская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</si>
  <si>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</si>
  <si>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</si>
  <si>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</si>
  <si>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</si>
  <si>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</si>
  <si>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</si>
  <si>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</si>
  <si>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</si>
  <si>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</si>
  <si>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</si>
  <si>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</si>
  <si>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</si>
  <si>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</si>
  <si>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</si>
  <si>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</si>
  <si>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</si>
  <si>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</si>
  <si>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</si>
  <si>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</si>
  <si>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</si>
  <si>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</si>
  <si>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</si>
  <si>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</si>
  <si>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</si>
  <si>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</si>
  <si>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</si>
  <si>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</si>
  <si>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</si>
  <si>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</si>
  <si>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</si>
  <si>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</si>
  <si>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</si>
  <si>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</si>
  <si>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</si>
  <si>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</si>
  <si>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</si>
  <si>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</si>
  <si>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</si>
  <si>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</si>
  <si>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</si>
  <si>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</si>
  <si>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</si>
  <si>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</si>
  <si>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</si>
  <si>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</si>
  <si>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</si>
  <si>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</si>
  <si>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</si>
  <si>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</si>
  <si>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</si>
  <si>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</si>
  <si>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</si>
  <si>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</si>
  <si>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</si>
  <si>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</si>
  <si>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</si>
  <si>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</si>
  <si>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</si>
  <si>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</si>
  <si>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</si>
  <si>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</si>
  <si>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</si>
  <si>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</si>
  <si>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</si>
  <si>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</si>
  <si>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</si>
  <si>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</si>
  <si>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</si>
  <si>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</si>
  <si>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</si>
  <si>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</si>
  <si>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</si>
  <si>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</si>
  <si>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</si>
  <si>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</si>
  <si>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</si>
  <si>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</si>
  <si>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30.12.2022 №44/9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</si>
</sst>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2" fontId="0" fillId="0" borderId="0" xfId="0" applyNumberFormat="1"/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E12" sqref="E12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65" t="s">
        <v>0</v>
      </c>
      <c r="F1" s="65"/>
      <c r="G1" s="4"/>
    </row>
    <row r="2" spans="1:12" ht="15.75" customHeight="1" x14ac:dyDescent="0.25">
      <c r="A2" s="1"/>
      <c r="B2" s="2"/>
      <c r="C2" s="2"/>
      <c r="D2" s="3"/>
      <c r="E2" s="65" t="s">
        <v>80</v>
      </c>
      <c r="F2" s="65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66" t="s">
        <v>1</v>
      </c>
      <c r="B5" s="66"/>
      <c r="C5" s="66"/>
      <c r="D5" s="66"/>
      <c r="E5" s="66"/>
      <c r="F5" s="66"/>
      <c r="G5"/>
    </row>
    <row r="6" spans="1:12" ht="13.5" customHeight="1" x14ac:dyDescent="0.25">
      <c r="A6" s="67" t="s">
        <v>2</v>
      </c>
      <c r="B6" s="67"/>
      <c r="C6" s="67"/>
      <c r="D6" s="67"/>
      <c r="E6" s="67"/>
      <c r="F6" s="67"/>
      <c r="G6"/>
    </row>
    <row r="7" spans="1:12" ht="105.75" customHeight="1" x14ac:dyDescent="0.25">
      <c r="A7" s="9" t="s">
        <v>3</v>
      </c>
      <c r="B7" s="10" t="s">
        <v>4</v>
      </c>
      <c r="C7" s="10" t="s">
        <v>5</v>
      </c>
      <c r="D7" s="11" t="s">
        <v>6</v>
      </c>
      <c r="E7" s="10" t="s">
        <v>7</v>
      </c>
      <c r="F7" s="12" t="s">
        <v>8</v>
      </c>
      <c r="G7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</row>
    <row r="9" spans="1:12" ht="15" customHeight="1" x14ac:dyDescent="0.25">
      <c r="A9" s="68" t="s">
        <v>9</v>
      </c>
      <c r="B9" s="71" t="s">
        <v>10</v>
      </c>
      <c r="C9" s="71" t="s">
        <v>11</v>
      </c>
      <c r="D9" s="74" t="s">
        <v>12</v>
      </c>
      <c r="E9" s="75"/>
      <c r="F9" s="76"/>
      <c r="G9"/>
    </row>
    <row r="10" spans="1:12" x14ac:dyDescent="0.25">
      <c r="A10" s="69"/>
      <c r="B10" s="72"/>
      <c r="C10" s="72"/>
      <c r="D10" s="64" t="s">
        <v>13</v>
      </c>
      <c r="E10" s="64"/>
      <c r="F10" s="64"/>
      <c r="G10"/>
    </row>
    <row r="11" spans="1:12" s="20" customFormat="1" x14ac:dyDescent="0.25">
      <c r="A11" s="69"/>
      <c r="B11" s="72"/>
      <c r="C11" s="72"/>
      <c r="D11" s="17" t="s">
        <v>14</v>
      </c>
      <c r="E11" s="18" t="s">
        <v>15</v>
      </c>
      <c r="F11" s="19">
        <v>14.25</v>
      </c>
    </row>
    <row r="12" spans="1:12" x14ac:dyDescent="0.25">
      <c r="A12" s="69"/>
      <c r="B12" s="72"/>
      <c r="C12" s="72"/>
      <c r="D12" s="21" t="s">
        <v>16</v>
      </c>
      <c r="E12" s="22" t="s">
        <v>17</v>
      </c>
      <c r="F12" s="23">
        <f>4036432.5/57</f>
        <v>70814.605263157893</v>
      </c>
      <c r="G12"/>
      <c r="H12" s="8"/>
    </row>
    <row r="13" spans="1:12" x14ac:dyDescent="0.25">
      <c r="A13" s="69"/>
      <c r="B13" s="72"/>
      <c r="C13" s="72"/>
      <c r="D13" s="24" t="s">
        <v>18</v>
      </c>
      <c r="E13" s="22" t="s">
        <v>17</v>
      </c>
      <c r="F13" s="25">
        <f>F12*30.2%</f>
        <v>21386.010789473683</v>
      </c>
      <c r="G13"/>
      <c r="H13" s="8"/>
    </row>
    <row r="14" spans="1:12" ht="15.75" thickBot="1" x14ac:dyDescent="0.3">
      <c r="A14" s="69"/>
      <c r="B14" s="72"/>
      <c r="C14" s="72"/>
      <c r="D14" s="74" t="s">
        <v>19</v>
      </c>
      <c r="E14" s="75"/>
      <c r="F14" s="76"/>
      <c r="G14"/>
      <c r="H14" s="8"/>
    </row>
    <row r="15" spans="1:12" ht="15.75" thickBot="1" x14ac:dyDescent="0.3">
      <c r="A15" s="69"/>
      <c r="B15" s="72"/>
      <c r="C15" s="72"/>
      <c r="D15" s="64" t="s">
        <v>20</v>
      </c>
      <c r="E15" s="64"/>
      <c r="F15" s="64"/>
      <c r="G15"/>
      <c r="H15" s="63"/>
      <c r="I15" s="8"/>
    </row>
    <row r="16" spans="1:12" x14ac:dyDescent="0.25">
      <c r="A16" s="69"/>
      <c r="B16" s="72"/>
      <c r="C16" s="72"/>
      <c r="D16" s="26" t="s">
        <v>21</v>
      </c>
      <c r="E16" s="27" t="s">
        <v>22</v>
      </c>
      <c r="F16" s="12" t="s">
        <v>23</v>
      </c>
      <c r="G16"/>
    </row>
    <row r="17" spans="1:8" x14ac:dyDescent="0.25">
      <c r="A17" s="69"/>
      <c r="B17" s="72"/>
      <c r="C17" s="72"/>
      <c r="D17" s="26" t="s">
        <v>24</v>
      </c>
      <c r="E17" s="27" t="s">
        <v>25</v>
      </c>
      <c r="F17" s="28" t="s">
        <v>23</v>
      </c>
      <c r="G17"/>
    </row>
    <row r="18" spans="1:8" ht="15" customHeight="1" x14ac:dyDescent="0.25">
      <c r="A18" s="69"/>
      <c r="B18" s="72"/>
      <c r="C18" s="72"/>
      <c r="D18" s="26" t="s">
        <v>26</v>
      </c>
      <c r="E18" s="27" t="s">
        <v>27</v>
      </c>
      <c r="F18" s="28" t="s">
        <v>23</v>
      </c>
      <c r="G18"/>
    </row>
    <row r="19" spans="1:8" ht="25.5" customHeight="1" x14ac:dyDescent="0.25">
      <c r="A19" s="69"/>
      <c r="B19" s="72"/>
      <c r="C19" s="72"/>
      <c r="D19" s="74" t="s">
        <v>28</v>
      </c>
      <c r="E19" s="75"/>
      <c r="F19" s="76"/>
      <c r="G19"/>
      <c r="H19" s="8"/>
    </row>
    <row r="20" spans="1:8" x14ac:dyDescent="0.25">
      <c r="A20" s="69"/>
      <c r="B20" s="72"/>
      <c r="C20" s="72"/>
      <c r="D20" s="29" t="s">
        <v>29</v>
      </c>
      <c r="E20" s="30" t="s">
        <v>30</v>
      </c>
      <c r="F20" s="31">
        <f>12000/57</f>
        <v>210.52631578947367</v>
      </c>
      <c r="G20"/>
    </row>
    <row r="21" spans="1:8" x14ac:dyDescent="0.25">
      <c r="A21" s="69"/>
      <c r="B21" s="72"/>
      <c r="C21" s="72"/>
      <c r="D21" s="29" t="s">
        <v>31</v>
      </c>
      <c r="E21" s="30" t="s">
        <v>30</v>
      </c>
      <c r="F21" s="31">
        <f>2000/57</f>
        <v>35.087719298245617</v>
      </c>
      <c r="G21"/>
    </row>
    <row r="22" spans="1:8" x14ac:dyDescent="0.25">
      <c r="A22" s="69"/>
      <c r="B22" s="72"/>
      <c r="C22" s="72"/>
      <c r="D22" s="11" t="s">
        <v>32</v>
      </c>
      <c r="E22" s="10" t="s">
        <v>33</v>
      </c>
      <c r="F22" s="12" t="s">
        <v>23</v>
      </c>
      <c r="G22"/>
    </row>
    <row r="23" spans="1:8" x14ac:dyDescent="0.25">
      <c r="A23" s="69"/>
      <c r="B23" s="72"/>
      <c r="C23" s="72"/>
      <c r="D23" s="11" t="s">
        <v>34</v>
      </c>
      <c r="E23" s="30" t="s">
        <v>30</v>
      </c>
      <c r="F23" s="23">
        <f>22800/57</f>
        <v>400</v>
      </c>
      <c r="G23"/>
    </row>
    <row r="24" spans="1:8" ht="39" x14ac:dyDescent="0.25">
      <c r="A24" s="69"/>
      <c r="B24" s="72"/>
      <c r="C24" s="72"/>
      <c r="D24" s="32" t="s">
        <v>35</v>
      </c>
      <c r="E24" s="30" t="s">
        <v>30</v>
      </c>
      <c r="F24" s="23">
        <f>24400/57</f>
        <v>428.07017543859649</v>
      </c>
      <c r="G24"/>
      <c r="H24" s="8"/>
    </row>
    <row r="25" spans="1:8" x14ac:dyDescent="0.25">
      <c r="A25" s="69"/>
      <c r="B25" s="72"/>
      <c r="C25" s="72"/>
      <c r="D25" s="11" t="s">
        <v>36</v>
      </c>
      <c r="E25" s="30" t="s">
        <v>30</v>
      </c>
      <c r="F25" s="23">
        <f>52000/57</f>
        <v>912.28070175438597</v>
      </c>
      <c r="G25"/>
    </row>
    <row r="26" spans="1:8" x14ac:dyDescent="0.25">
      <c r="A26" s="69"/>
      <c r="B26" s="72"/>
      <c r="C26" s="72"/>
      <c r="D26" s="11" t="s">
        <v>37</v>
      </c>
      <c r="E26" s="30" t="s">
        <v>30</v>
      </c>
      <c r="F26" s="33">
        <f>28900/57</f>
        <v>507.01754385964909</v>
      </c>
      <c r="G26"/>
    </row>
    <row r="27" spans="1:8" x14ac:dyDescent="0.25">
      <c r="A27" s="69"/>
      <c r="B27" s="72"/>
      <c r="C27" s="72"/>
      <c r="D27" s="32" t="s">
        <v>38</v>
      </c>
      <c r="E27" s="30" t="s">
        <v>30</v>
      </c>
      <c r="F27" s="33">
        <f>30000/57</f>
        <v>526.31578947368416</v>
      </c>
      <c r="G27"/>
    </row>
    <row r="28" spans="1:8" ht="23.25" customHeight="1" x14ac:dyDescent="0.25">
      <c r="A28" s="69"/>
      <c r="B28" s="72"/>
      <c r="C28" s="72"/>
      <c r="D28" s="74" t="s">
        <v>39</v>
      </c>
      <c r="E28" s="75"/>
      <c r="F28" s="76"/>
      <c r="G28"/>
    </row>
    <row r="29" spans="1:8" x14ac:dyDescent="0.25">
      <c r="A29" s="69"/>
      <c r="B29" s="72"/>
      <c r="C29" s="72"/>
      <c r="D29" s="11" t="s">
        <v>40</v>
      </c>
      <c r="E29" s="34" t="s">
        <v>41</v>
      </c>
      <c r="F29" s="12">
        <v>4</v>
      </c>
      <c r="G29"/>
    </row>
    <row r="30" spans="1:8" x14ac:dyDescent="0.25">
      <c r="A30" s="69"/>
      <c r="B30" s="72"/>
      <c r="C30" s="72"/>
      <c r="D30" s="74" t="s">
        <v>42</v>
      </c>
      <c r="E30" s="75"/>
      <c r="F30" s="76"/>
      <c r="G30"/>
    </row>
    <row r="31" spans="1:8" x14ac:dyDescent="0.25">
      <c r="A31" s="69"/>
      <c r="B31" s="72"/>
      <c r="C31" s="72"/>
      <c r="D31" s="35" t="s">
        <v>43</v>
      </c>
      <c r="E31" s="9" t="s">
        <v>44</v>
      </c>
      <c r="F31" s="12">
        <v>2</v>
      </c>
      <c r="G31"/>
    </row>
    <row r="32" spans="1:8" ht="24.75" customHeight="1" x14ac:dyDescent="0.25">
      <c r="A32" s="69"/>
      <c r="B32" s="72"/>
      <c r="C32" s="72"/>
      <c r="D32" s="64" t="s">
        <v>45</v>
      </c>
      <c r="E32" s="64"/>
      <c r="F32" s="64"/>
      <c r="G32"/>
    </row>
    <row r="33" spans="1:8" s="20" customFormat="1" ht="21.75" customHeight="1" x14ac:dyDescent="0.25">
      <c r="A33" s="69"/>
      <c r="B33" s="72"/>
      <c r="C33" s="72"/>
      <c r="D33" s="36" t="s">
        <v>46</v>
      </c>
      <c r="E33" s="37" t="s">
        <v>15</v>
      </c>
      <c r="F33" s="38">
        <v>9.75</v>
      </c>
    </row>
    <row r="34" spans="1:8" x14ac:dyDescent="0.25">
      <c r="A34" s="69"/>
      <c r="B34" s="72"/>
      <c r="C34" s="72"/>
      <c r="D34" s="21" t="s">
        <v>16</v>
      </c>
      <c r="E34" s="22" t="s">
        <v>17</v>
      </c>
      <c r="F34" s="25">
        <f>2995300/57</f>
        <v>52549.122807017542</v>
      </c>
      <c r="G34"/>
    </row>
    <row r="35" spans="1:8" x14ac:dyDescent="0.25">
      <c r="A35" s="69"/>
      <c r="B35" s="72"/>
      <c r="C35" s="72"/>
      <c r="D35" s="24" t="s">
        <v>18</v>
      </c>
      <c r="E35" s="22" t="s">
        <v>17</v>
      </c>
      <c r="F35" s="25">
        <f>F34*30.2%</f>
        <v>15869.835087719297</v>
      </c>
      <c r="G35"/>
    </row>
    <row r="36" spans="1:8" x14ac:dyDescent="0.25">
      <c r="A36" s="69"/>
      <c r="B36" s="72"/>
      <c r="C36" s="72"/>
      <c r="D36" s="64" t="s">
        <v>47</v>
      </c>
      <c r="E36" s="64"/>
      <c r="F36" s="64"/>
      <c r="G36"/>
    </row>
    <row r="37" spans="1:8" x14ac:dyDescent="0.25">
      <c r="A37" s="69"/>
      <c r="B37" s="72"/>
      <c r="C37" s="72"/>
      <c r="D37" s="39" t="s">
        <v>48</v>
      </c>
      <c r="E37" s="40" t="s">
        <v>17</v>
      </c>
      <c r="F37" s="41" t="s">
        <v>23</v>
      </c>
      <c r="G37"/>
    </row>
    <row r="38" spans="1:8" x14ac:dyDescent="0.25">
      <c r="A38" s="69"/>
      <c r="B38" s="72"/>
      <c r="C38" s="72"/>
      <c r="D38" s="39" t="s">
        <v>49</v>
      </c>
      <c r="E38" s="40" t="s">
        <v>17</v>
      </c>
      <c r="F38" s="41" t="s">
        <v>23</v>
      </c>
      <c r="G38"/>
    </row>
    <row r="39" spans="1:8" ht="26.25" x14ac:dyDescent="0.25">
      <c r="A39" s="69"/>
      <c r="B39" s="72"/>
      <c r="C39" s="72"/>
      <c r="D39" s="39" t="s">
        <v>50</v>
      </c>
      <c r="E39" s="40" t="s">
        <v>17</v>
      </c>
      <c r="F39" s="41" t="s">
        <v>23</v>
      </c>
      <c r="G39"/>
    </row>
    <row r="40" spans="1:8" ht="39" x14ac:dyDescent="0.25">
      <c r="A40" s="69"/>
      <c r="B40" s="72"/>
      <c r="C40" s="72"/>
      <c r="D40" s="39" t="s">
        <v>51</v>
      </c>
      <c r="E40" s="40" t="s">
        <v>17</v>
      </c>
      <c r="F40" s="41" t="s">
        <v>23</v>
      </c>
      <c r="G40"/>
    </row>
    <row r="41" spans="1:8" x14ac:dyDescent="0.25">
      <c r="A41" s="69"/>
      <c r="B41" s="72"/>
      <c r="C41" s="72"/>
      <c r="D41" s="39" t="s">
        <v>52</v>
      </c>
      <c r="E41" s="40" t="s">
        <v>53</v>
      </c>
      <c r="F41" s="25" t="s">
        <v>23</v>
      </c>
      <c r="G41"/>
    </row>
    <row r="42" spans="1:8" ht="26.25" x14ac:dyDescent="0.25">
      <c r="A42" s="69"/>
      <c r="B42" s="72"/>
      <c r="C42" s="72"/>
      <c r="D42" s="39" t="s">
        <v>54</v>
      </c>
      <c r="E42" s="42" t="s">
        <v>17</v>
      </c>
      <c r="F42" s="41" t="s">
        <v>23</v>
      </c>
      <c r="G42"/>
    </row>
    <row r="43" spans="1:8" x14ac:dyDescent="0.25">
      <c r="A43" s="69"/>
      <c r="B43" s="72"/>
      <c r="C43" s="72"/>
      <c r="D43" s="11" t="s">
        <v>36</v>
      </c>
      <c r="E43" s="42" t="s">
        <v>17</v>
      </c>
      <c r="F43" s="41">
        <f>40800/57</f>
        <v>715.78947368421052</v>
      </c>
      <c r="G43"/>
    </row>
    <row r="44" spans="1:8" x14ac:dyDescent="0.25">
      <c r="A44" s="70"/>
      <c r="B44" s="73"/>
      <c r="C44" s="73"/>
      <c r="D44" s="39" t="s">
        <v>55</v>
      </c>
      <c r="E44" s="42" t="s">
        <v>17</v>
      </c>
      <c r="F44" s="41">
        <f>459062.74/57</f>
        <v>8053.7322807017545</v>
      </c>
      <c r="G44"/>
    </row>
    <row r="45" spans="1:8" ht="27" customHeight="1" x14ac:dyDescent="0.25">
      <c r="A45" s="68" t="s">
        <v>56</v>
      </c>
      <c r="B45" s="71" t="s">
        <v>10</v>
      </c>
      <c r="C45" s="71" t="s">
        <v>11</v>
      </c>
      <c r="D45" s="77" t="s">
        <v>12</v>
      </c>
      <c r="E45" s="78"/>
      <c r="F45" s="79"/>
      <c r="G45"/>
    </row>
    <row r="46" spans="1:8" x14ac:dyDescent="0.25">
      <c r="A46" s="69"/>
      <c r="B46" s="72"/>
      <c r="C46" s="72"/>
      <c r="D46" s="80" t="s">
        <v>13</v>
      </c>
      <c r="E46" s="80"/>
      <c r="F46" s="80"/>
      <c r="G46"/>
    </row>
    <row r="47" spans="1:8" x14ac:dyDescent="0.25">
      <c r="A47" s="69"/>
      <c r="B47" s="72"/>
      <c r="C47" s="72"/>
      <c r="D47" s="43" t="s">
        <v>14</v>
      </c>
      <c r="E47" s="44" t="s">
        <v>15</v>
      </c>
      <c r="F47" s="45">
        <v>40</v>
      </c>
      <c r="G47"/>
    </row>
    <row r="48" spans="1:8" x14ac:dyDescent="0.25">
      <c r="A48" s="69"/>
      <c r="B48" s="72"/>
      <c r="C48" s="72"/>
      <c r="D48" s="46" t="s">
        <v>16</v>
      </c>
      <c r="E48" s="47" t="s">
        <v>17</v>
      </c>
      <c r="F48" s="45">
        <f>14833400*0.22/61</f>
        <v>53497.508196721312</v>
      </c>
      <c r="H48" s="8"/>
    </row>
    <row r="49" spans="1:8" x14ac:dyDescent="0.25">
      <c r="A49" s="69"/>
      <c r="B49" s="72"/>
      <c r="C49" s="72"/>
      <c r="D49" s="48" t="s">
        <v>18</v>
      </c>
      <c r="E49" s="47" t="s">
        <v>17</v>
      </c>
      <c r="F49" s="25">
        <f>F48*30.2%</f>
        <v>16156.247475409835</v>
      </c>
      <c r="G49"/>
      <c r="H49" s="8"/>
    </row>
    <row r="50" spans="1:8" x14ac:dyDescent="0.25">
      <c r="A50" s="69"/>
      <c r="B50" s="72"/>
      <c r="C50" s="72"/>
      <c r="D50" s="77" t="s">
        <v>19</v>
      </c>
      <c r="E50" s="78"/>
      <c r="F50" s="79"/>
      <c r="G50"/>
      <c r="H50" s="8"/>
    </row>
    <row r="51" spans="1:8" x14ac:dyDescent="0.25">
      <c r="A51" s="69"/>
      <c r="B51" s="72"/>
      <c r="C51" s="72"/>
      <c r="D51" s="77" t="s">
        <v>20</v>
      </c>
      <c r="E51" s="78"/>
      <c r="F51" s="79"/>
      <c r="G51"/>
    </row>
    <row r="52" spans="1:8" x14ac:dyDescent="0.25">
      <c r="A52" s="69"/>
      <c r="B52" s="72"/>
      <c r="C52" s="72"/>
      <c r="D52" s="15" t="s">
        <v>21</v>
      </c>
      <c r="E52" s="27" t="s">
        <v>22</v>
      </c>
      <c r="F52" s="12">
        <f>568000*0.21/61</f>
        <v>1955.4098360655737</v>
      </c>
      <c r="H52" s="8"/>
    </row>
    <row r="53" spans="1:8" x14ac:dyDescent="0.25">
      <c r="A53" s="69"/>
      <c r="B53" s="72"/>
      <c r="C53" s="72"/>
      <c r="D53" s="15" t="s">
        <v>24</v>
      </c>
      <c r="E53" s="27" t="s">
        <v>25</v>
      </c>
      <c r="F53" s="12">
        <f>2500000*0.21/61</f>
        <v>8606.557377049181</v>
      </c>
      <c r="G53"/>
    </row>
    <row r="54" spans="1:8" ht="15.75" x14ac:dyDescent="0.25">
      <c r="A54" s="69"/>
      <c r="B54" s="72"/>
      <c r="C54" s="72"/>
      <c r="D54" s="15" t="s">
        <v>26</v>
      </c>
      <c r="E54" s="27" t="s">
        <v>27</v>
      </c>
      <c r="F54" s="12">
        <f>88500*0.21/61</f>
        <v>304.67213114754099</v>
      </c>
      <c r="G54"/>
      <c r="H54" s="8"/>
    </row>
    <row r="55" spans="1:8" x14ac:dyDescent="0.25">
      <c r="A55" s="69"/>
      <c r="B55" s="72"/>
      <c r="C55" s="72"/>
      <c r="D55" s="49" t="s">
        <v>57</v>
      </c>
      <c r="E55" s="27" t="s">
        <v>30</v>
      </c>
      <c r="F55" s="50">
        <f>90000*0.21/61</f>
        <v>309.8360655737705</v>
      </c>
      <c r="G55"/>
      <c r="H55" s="8"/>
    </row>
    <row r="56" spans="1:8" ht="34.5" customHeight="1" x14ac:dyDescent="0.25">
      <c r="A56" s="69"/>
      <c r="B56" s="72"/>
      <c r="C56" s="72"/>
      <c r="D56" s="77" t="s">
        <v>28</v>
      </c>
      <c r="E56" s="78"/>
      <c r="F56" s="79"/>
      <c r="G56"/>
      <c r="H56" s="8"/>
    </row>
    <row r="57" spans="1:8" x14ac:dyDescent="0.25">
      <c r="A57" s="69"/>
      <c r="B57" s="72"/>
      <c r="C57" s="72"/>
      <c r="D57" s="11" t="s">
        <v>29</v>
      </c>
      <c r="E57" s="10" t="s">
        <v>30</v>
      </c>
      <c r="F57" s="31">
        <f>12400*0.29/61</f>
        <v>58.950819672131139</v>
      </c>
    </row>
    <row r="58" spans="1:8" x14ac:dyDescent="0.25">
      <c r="A58" s="69"/>
      <c r="B58" s="72"/>
      <c r="C58" s="72"/>
      <c r="D58" s="11" t="s">
        <v>31</v>
      </c>
      <c r="E58" s="10" t="s">
        <v>30</v>
      </c>
      <c r="F58" s="31">
        <f>(40000+1000)*0.29/61</f>
        <v>194.91803278688525</v>
      </c>
      <c r="G58"/>
    </row>
    <row r="59" spans="1:8" ht="25.5" x14ac:dyDescent="0.25">
      <c r="A59" s="69"/>
      <c r="B59" s="72"/>
      <c r="C59" s="72"/>
      <c r="D59" s="11" t="s">
        <v>58</v>
      </c>
      <c r="E59" s="10" t="s">
        <v>30</v>
      </c>
      <c r="F59" s="12">
        <f>0.4*(10000+2500)/61</f>
        <v>81.967213114754102</v>
      </c>
      <c r="H59" s="8"/>
    </row>
    <row r="60" spans="1:8" x14ac:dyDescent="0.25">
      <c r="A60" s="69"/>
      <c r="B60" s="72"/>
      <c r="C60" s="72"/>
      <c r="D60" s="11" t="s">
        <v>34</v>
      </c>
      <c r="E60" s="10" t="s">
        <v>30</v>
      </c>
      <c r="F60" s="45">
        <f>(50400+24400)*0.4/61</f>
        <v>490.49180327868851</v>
      </c>
      <c r="G60"/>
      <c r="H60" s="8"/>
    </row>
    <row r="61" spans="1:8" ht="38.25" x14ac:dyDescent="0.25">
      <c r="A61" s="69"/>
      <c r="B61" s="72"/>
      <c r="C61" s="72"/>
      <c r="D61" s="51" t="s">
        <v>35</v>
      </c>
      <c r="E61" s="10" t="s">
        <v>30</v>
      </c>
      <c r="F61" s="45">
        <f>24000*0.4/61</f>
        <v>157.37704918032787</v>
      </c>
      <c r="G61"/>
      <c r="H61" s="8"/>
    </row>
    <row r="62" spans="1:8" x14ac:dyDescent="0.25">
      <c r="A62" s="69"/>
      <c r="B62" s="72"/>
      <c r="C62" s="72"/>
      <c r="D62" s="11" t="s">
        <v>36</v>
      </c>
      <c r="E62" s="10" t="s">
        <v>30</v>
      </c>
      <c r="F62" s="45">
        <f>52000*0.4/61</f>
        <v>340.98360655737707</v>
      </c>
      <c r="G62"/>
    </row>
    <row r="63" spans="1:8" x14ac:dyDescent="0.25">
      <c r="A63" s="69"/>
      <c r="B63" s="72"/>
      <c r="C63" s="72"/>
      <c r="D63" s="11" t="s">
        <v>37</v>
      </c>
      <c r="E63" s="10" t="s">
        <v>30</v>
      </c>
      <c r="F63" s="45">
        <f>30000*0.4/61</f>
        <v>196.72131147540983</v>
      </c>
      <c r="G63"/>
    </row>
    <row r="64" spans="1:8" ht="25.5" x14ac:dyDescent="0.25">
      <c r="A64" s="69"/>
      <c r="B64" s="72"/>
      <c r="C64" s="72"/>
      <c r="D64" s="51" t="s">
        <v>59</v>
      </c>
      <c r="E64" s="10" t="s">
        <v>30</v>
      </c>
      <c r="F64" s="45">
        <f>24000*0.4/61</f>
        <v>157.37704918032787</v>
      </c>
      <c r="G64"/>
    </row>
    <row r="65" spans="1:8" ht="29.25" customHeight="1" x14ac:dyDescent="0.25">
      <c r="A65" s="69"/>
      <c r="B65" s="72"/>
      <c r="C65" s="72"/>
      <c r="D65" s="77" t="s">
        <v>39</v>
      </c>
      <c r="E65" s="78"/>
      <c r="F65" s="79"/>
      <c r="G65"/>
    </row>
    <row r="66" spans="1:8" x14ac:dyDescent="0.25">
      <c r="A66" s="69"/>
      <c r="B66" s="72"/>
      <c r="C66" s="72"/>
      <c r="D66" s="11" t="s">
        <v>40</v>
      </c>
      <c r="E66" s="52" t="s">
        <v>41</v>
      </c>
      <c r="F66" s="12">
        <v>8</v>
      </c>
      <c r="G66"/>
      <c r="H66" s="8"/>
    </row>
    <row r="67" spans="1:8" x14ac:dyDescent="0.25">
      <c r="A67" s="69"/>
      <c r="B67" s="72"/>
      <c r="C67" s="72"/>
      <c r="D67" s="77" t="s">
        <v>42</v>
      </c>
      <c r="E67" s="78"/>
      <c r="F67" s="79"/>
      <c r="G67"/>
    </row>
    <row r="68" spans="1:8" x14ac:dyDescent="0.25">
      <c r="A68" s="69"/>
      <c r="B68" s="72"/>
      <c r="C68" s="72"/>
      <c r="D68" s="11" t="s">
        <v>43</v>
      </c>
      <c r="E68" s="10" t="s">
        <v>30</v>
      </c>
      <c r="F68" s="12">
        <f>7000*0.4/64</f>
        <v>43.75</v>
      </c>
      <c r="G68"/>
    </row>
    <row r="69" spans="1:8" ht="30" customHeight="1" x14ac:dyDescent="0.25">
      <c r="A69" s="69"/>
      <c r="B69" s="72"/>
      <c r="C69" s="72"/>
      <c r="D69" s="77" t="s">
        <v>45</v>
      </c>
      <c r="E69" s="78"/>
      <c r="F69" s="79"/>
      <c r="G69"/>
    </row>
    <row r="70" spans="1:8" ht="25.5" x14ac:dyDescent="0.25">
      <c r="A70" s="69"/>
      <c r="B70" s="72"/>
      <c r="C70" s="72"/>
      <c r="D70" s="53" t="s">
        <v>46</v>
      </c>
      <c r="E70" s="10" t="s">
        <v>15</v>
      </c>
      <c r="F70" s="12">
        <v>18.5</v>
      </c>
      <c r="G70"/>
      <c r="H70" s="62"/>
    </row>
    <row r="71" spans="1:8" x14ac:dyDescent="0.25">
      <c r="A71" s="69"/>
      <c r="B71" s="72"/>
      <c r="C71" s="72"/>
      <c r="D71" s="46" t="s">
        <v>16</v>
      </c>
      <c r="E71" s="47" t="s">
        <v>17</v>
      </c>
      <c r="F71" s="25">
        <f>6407500*0.21/61</f>
        <v>22058.60655737705</v>
      </c>
      <c r="G71"/>
      <c r="H71" s="62"/>
    </row>
    <row r="72" spans="1:8" x14ac:dyDescent="0.25">
      <c r="A72" s="69"/>
      <c r="B72" s="72"/>
      <c r="C72" s="72"/>
      <c r="D72" s="48" t="s">
        <v>18</v>
      </c>
      <c r="E72" s="47" t="s">
        <v>17</v>
      </c>
      <c r="F72" s="25">
        <f>F71*30.2%</f>
        <v>6661.6991803278688</v>
      </c>
      <c r="G72"/>
      <c r="H72" s="62"/>
    </row>
    <row r="73" spans="1:8" x14ac:dyDescent="0.25">
      <c r="A73" s="69"/>
      <c r="B73" s="72"/>
      <c r="C73" s="72"/>
      <c r="D73" s="77" t="s">
        <v>47</v>
      </c>
      <c r="E73" s="78"/>
      <c r="F73" s="79"/>
      <c r="G73"/>
      <c r="H73" s="62"/>
    </row>
    <row r="74" spans="1:8" x14ac:dyDescent="0.25">
      <c r="A74" s="69"/>
      <c r="B74" s="72"/>
      <c r="C74" s="72"/>
      <c r="D74" s="54" t="s">
        <v>48</v>
      </c>
      <c r="E74" s="14" t="s">
        <v>17</v>
      </c>
      <c r="F74" s="25">
        <f>10000*0.4/61</f>
        <v>65.573770491803273</v>
      </c>
      <c r="G74"/>
      <c r="H74" s="62"/>
    </row>
    <row r="75" spans="1:8" x14ac:dyDescent="0.25">
      <c r="A75" s="69"/>
      <c r="B75" s="72"/>
      <c r="C75" s="72"/>
      <c r="D75" s="54" t="s">
        <v>49</v>
      </c>
      <c r="E75" s="14" t="s">
        <v>17</v>
      </c>
      <c r="F75" s="25">
        <f>(13000+20000)*0.4/61</f>
        <v>216.39344262295083</v>
      </c>
      <c r="G75"/>
      <c r="H75" s="62"/>
    </row>
    <row r="76" spans="1:8" x14ac:dyDescent="0.25">
      <c r="A76" s="69"/>
      <c r="B76" s="72"/>
      <c r="C76" s="72"/>
      <c r="D76" s="54" t="s">
        <v>60</v>
      </c>
      <c r="E76" s="14" t="s">
        <v>17</v>
      </c>
      <c r="F76" s="25">
        <f>0.4*92256/61</f>
        <v>604.95737704918031</v>
      </c>
      <c r="G76"/>
    </row>
    <row r="77" spans="1:8" x14ac:dyDescent="0.25">
      <c r="A77" s="69"/>
      <c r="B77" s="72"/>
      <c r="C77" s="72"/>
      <c r="D77" s="54" t="s">
        <v>38</v>
      </c>
      <c r="E77" s="14" t="s">
        <v>17</v>
      </c>
      <c r="F77" s="25">
        <f>0.4*50000/61</f>
        <v>327.86885245901641</v>
      </c>
      <c r="G77"/>
    </row>
    <row r="78" spans="1:8" x14ac:dyDescent="0.25">
      <c r="A78" s="69"/>
      <c r="B78" s="72"/>
      <c r="C78" s="72"/>
      <c r="D78" s="54" t="s">
        <v>52</v>
      </c>
      <c r="E78" s="14" t="s">
        <v>53</v>
      </c>
      <c r="F78" s="25">
        <v>40</v>
      </c>
      <c r="G78"/>
    </row>
    <row r="79" spans="1:8" x14ac:dyDescent="0.25">
      <c r="A79" s="69"/>
      <c r="B79" s="72"/>
      <c r="C79" s="72"/>
      <c r="D79" s="54" t="s">
        <v>61</v>
      </c>
      <c r="E79" s="44" t="s">
        <v>17</v>
      </c>
      <c r="F79" s="25">
        <f>0.4*(48000+3200+1250000)/61</f>
        <v>8532.4590163934427</v>
      </c>
      <c r="G79"/>
    </row>
    <row r="80" spans="1:8" x14ac:dyDescent="0.25">
      <c r="A80" s="70"/>
      <c r="B80" s="73"/>
      <c r="C80" s="73"/>
      <c r="D80" s="54" t="s">
        <v>36</v>
      </c>
      <c r="E80" s="44" t="s">
        <v>17</v>
      </c>
      <c r="F80" s="25">
        <f>(76500+33744)*0.29/61</f>
        <v>524.11081967213113</v>
      </c>
      <c r="G80"/>
    </row>
    <row r="81" spans="1:26" s="55" customFormat="1" ht="22.5" customHeight="1" x14ac:dyDescent="0.25">
      <c r="A81" s="68" t="s">
        <v>62</v>
      </c>
      <c r="B81" s="71" t="s">
        <v>63</v>
      </c>
      <c r="C81" s="71" t="s">
        <v>11</v>
      </c>
      <c r="D81" s="77" t="s">
        <v>12</v>
      </c>
      <c r="E81" s="78"/>
      <c r="F81" s="7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69"/>
      <c r="B82" s="72"/>
      <c r="C82" s="72"/>
      <c r="D82" s="80" t="s">
        <v>13</v>
      </c>
      <c r="E82" s="80"/>
      <c r="F82" s="8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69"/>
      <c r="B83" s="72"/>
      <c r="C83" s="72"/>
      <c r="D83" s="43" t="s">
        <v>14</v>
      </c>
      <c r="E83" s="44" t="s">
        <v>15</v>
      </c>
      <c r="F83" s="45">
        <v>40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69"/>
      <c r="B84" s="72"/>
      <c r="C84" s="72"/>
      <c r="D84" s="46" t="s">
        <v>16</v>
      </c>
      <c r="E84" s="47" t="s">
        <v>17</v>
      </c>
      <c r="F84" s="45">
        <f>14833400*0.28/79</f>
        <v>52574.075949367092</v>
      </c>
      <c r="G84" s="8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69"/>
      <c r="B85" s="72"/>
      <c r="C85" s="72"/>
      <c r="D85" s="48" t="s">
        <v>18</v>
      </c>
      <c r="E85" s="47" t="s">
        <v>17</v>
      </c>
      <c r="F85" s="25">
        <f>F84*30.2%</f>
        <v>15877.370936708861</v>
      </c>
      <c r="G85"/>
      <c r="H85" s="8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69"/>
      <c r="B86" s="72"/>
      <c r="C86" s="72"/>
      <c r="D86" s="77" t="s">
        <v>19</v>
      </c>
      <c r="E86" s="78"/>
      <c r="F86" s="79"/>
      <c r="G86"/>
      <c r="H86" s="8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69"/>
      <c r="B87" s="72"/>
      <c r="C87" s="72"/>
      <c r="D87" s="80" t="s">
        <v>20</v>
      </c>
      <c r="E87" s="80"/>
      <c r="F87" s="80"/>
      <c r="G87"/>
      <c r="H87" s="8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69"/>
      <c r="B88" s="72"/>
      <c r="C88" s="72"/>
      <c r="D88" s="15" t="s">
        <v>21</v>
      </c>
      <c r="E88" s="27" t="s">
        <v>22</v>
      </c>
      <c r="F88" s="12">
        <f>568000*0.28/61</f>
        <v>2607.213114754099</v>
      </c>
      <c r="G88" s="8"/>
      <c r="H88" s="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69"/>
      <c r="B89" s="72"/>
      <c r="C89" s="72"/>
      <c r="D89" s="15" t="s">
        <v>24</v>
      </c>
      <c r="E89" s="27" t="s">
        <v>25</v>
      </c>
      <c r="F89" s="12">
        <f>2500000*0.28/61</f>
        <v>11475.409836065575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69"/>
      <c r="B90" s="72"/>
      <c r="C90" s="72"/>
      <c r="D90" s="15" t="s">
        <v>26</v>
      </c>
      <c r="E90" s="27" t="s">
        <v>27</v>
      </c>
      <c r="F90" s="12">
        <f>88500*0.28/61</f>
        <v>406.22950819672138</v>
      </c>
      <c r="G90"/>
      <c r="H90" s="8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69"/>
      <c r="B91" s="72"/>
      <c r="C91" s="72"/>
      <c r="D91" s="49" t="s">
        <v>57</v>
      </c>
      <c r="E91" s="27" t="s">
        <v>30</v>
      </c>
      <c r="F91" s="50">
        <f>90000*0.28/61</f>
        <v>413.11475409836072</v>
      </c>
      <c r="G91"/>
      <c r="H91" s="8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69"/>
      <c r="B92" s="72"/>
      <c r="C92" s="72"/>
      <c r="D92" s="77" t="s">
        <v>28</v>
      </c>
      <c r="E92" s="78"/>
      <c r="F92" s="79"/>
      <c r="G92"/>
      <c r="H92" s="8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thickBot="1" x14ac:dyDescent="0.3">
      <c r="A93" s="69"/>
      <c r="B93" s="72"/>
      <c r="C93" s="72"/>
      <c r="D93" s="11" t="s">
        <v>29</v>
      </c>
      <c r="E93" s="10" t="s">
        <v>30</v>
      </c>
      <c r="F93" s="31">
        <f>12400*0.31/79</f>
        <v>48.658227848101269</v>
      </c>
      <c r="G93" s="8"/>
      <c r="H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ht="15.75" thickBot="1" x14ac:dyDescent="0.3">
      <c r="A94" s="69"/>
      <c r="B94" s="72"/>
      <c r="C94" s="72"/>
      <c r="D94" s="11" t="s">
        <v>31</v>
      </c>
      <c r="E94" s="10" t="s">
        <v>30</v>
      </c>
      <c r="F94" s="31">
        <f>(40000+1000)*0.31/79</f>
        <v>160.8860759493671</v>
      </c>
      <c r="G94" s="8"/>
      <c r="H94" s="63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69"/>
      <c r="B95" s="72"/>
      <c r="C95" s="72"/>
      <c r="D95" s="11" t="s">
        <v>58</v>
      </c>
      <c r="E95" s="10" t="s">
        <v>30</v>
      </c>
      <c r="F95" s="12">
        <f>0.47*(10000+2500)/79</f>
        <v>74.367088607594937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69"/>
      <c r="B96" s="72"/>
      <c r="C96" s="72"/>
      <c r="D96" s="11" t="s">
        <v>34</v>
      </c>
      <c r="E96" s="10" t="s">
        <v>30</v>
      </c>
      <c r="F96" s="45">
        <f>(50400+24400)*0.47/79</f>
        <v>445.01265822784808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69"/>
      <c r="B97" s="72"/>
      <c r="C97" s="72"/>
      <c r="D97" s="51" t="s">
        <v>35</v>
      </c>
      <c r="E97" s="10" t="s">
        <v>30</v>
      </c>
      <c r="F97" s="45">
        <f>24000*0.47/79</f>
        <v>142.78481012658227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69"/>
      <c r="B98" s="72"/>
      <c r="C98" s="72"/>
      <c r="D98" s="11" t="s">
        <v>36</v>
      </c>
      <c r="E98" s="10" t="s">
        <v>30</v>
      </c>
      <c r="F98" s="45">
        <f>52000*0.47/79</f>
        <v>309.36708860759495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69"/>
      <c r="B99" s="72"/>
      <c r="C99" s="72"/>
      <c r="D99" s="11" t="s">
        <v>37</v>
      </c>
      <c r="E99" s="10" t="s">
        <v>30</v>
      </c>
      <c r="F99" s="45">
        <f>30000*0.47/79</f>
        <v>178.48101265822785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69"/>
      <c r="B100" s="72"/>
      <c r="C100" s="72"/>
      <c r="D100" s="51" t="s">
        <v>59</v>
      </c>
      <c r="E100" s="10" t="s">
        <v>30</v>
      </c>
      <c r="F100" s="45">
        <f>24000*0.47/79</f>
        <v>142.78481012658227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69"/>
      <c r="B101" s="72"/>
      <c r="C101" s="72"/>
      <c r="D101" s="77" t="s">
        <v>39</v>
      </c>
      <c r="E101" s="78"/>
      <c r="F101" s="79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69"/>
      <c r="B102" s="72"/>
      <c r="C102" s="72"/>
      <c r="D102" s="11" t="s">
        <v>40</v>
      </c>
      <c r="E102" s="52" t="s">
        <v>41</v>
      </c>
      <c r="F102" s="12">
        <v>8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69"/>
      <c r="B103" s="72"/>
      <c r="C103" s="72"/>
      <c r="D103" s="77" t="s">
        <v>42</v>
      </c>
      <c r="E103" s="78"/>
      <c r="F103" s="79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69"/>
      <c r="B104" s="72"/>
      <c r="C104" s="72"/>
      <c r="D104" s="11" t="s">
        <v>43</v>
      </c>
      <c r="E104" s="10" t="s">
        <v>30</v>
      </c>
      <c r="F104" s="12">
        <f>0.47*7000/85</f>
        <v>38.705882352941174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69"/>
      <c r="B105" s="72"/>
      <c r="C105" s="72"/>
      <c r="D105" s="77" t="s">
        <v>45</v>
      </c>
      <c r="E105" s="78"/>
      <c r="F105" s="79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69"/>
      <c r="B106" s="72"/>
      <c r="C106" s="72"/>
      <c r="D106" s="53" t="s">
        <v>46</v>
      </c>
      <c r="E106" s="10" t="s">
        <v>15</v>
      </c>
      <c r="F106" s="12">
        <v>18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69"/>
      <c r="B107" s="72"/>
      <c r="C107" s="72"/>
      <c r="D107" s="46" t="s">
        <v>16</v>
      </c>
      <c r="E107" s="47" t="s">
        <v>17</v>
      </c>
      <c r="F107" s="25">
        <f>6407500*0.28/79</f>
        <v>22710.126582278484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69"/>
      <c r="B108" s="72"/>
      <c r="C108" s="72"/>
      <c r="D108" s="48" t="s">
        <v>18</v>
      </c>
      <c r="E108" s="47" t="s">
        <v>17</v>
      </c>
      <c r="F108" s="25">
        <f>F107*30.2%</f>
        <v>6858.4582278481021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69"/>
      <c r="B109" s="72"/>
      <c r="C109" s="72"/>
      <c r="D109" s="77" t="s">
        <v>47</v>
      </c>
      <c r="E109" s="78"/>
      <c r="F109" s="7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69"/>
      <c r="B110" s="72"/>
      <c r="C110" s="72"/>
      <c r="D110" s="54" t="s">
        <v>48</v>
      </c>
      <c r="E110" s="14" t="s">
        <v>17</v>
      </c>
      <c r="F110" s="25">
        <f>10000*0.47/79</f>
        <v>59.493670886075947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69"/>
      <c r="B111" s="72"/>
      <c r="C111" s="72"/>
      <c r="D111" s="54" t="s">
        <v>49</v>
      </c>
      <c r="E111" s="14" t="s">
        <v>17</v>
      </c>
      <c r="F111" s="25">
        <f>(13000+20000)*0.47/79</f>
        <v>196.32911392405063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69"/>
      <c r="B112" s="72"/>
      <c r="C112" s="72"/>
      <c r="D112" s="54" t="s">
        <v>60</v>
      </c>
      <c r="E112" s="14" t="s">
        <v>17</v>
      </c>
      <c r="F112" s="25">
        <f>0.47*92256/79</f>
        <v>548.86481012658226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69"/>
      <c r="B113" s="72"/>
      <c r="C113" s="72"/>
      <c r="D113" s="54" t="s">
        <v>38</v>
      </c>
      <c r="E113" s="14" t="s">
        <v>17</v>
      </c>
      <c r="F113" s="25">
        <f>0.47*50000/79</f>
        <v>297.46835443037975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69"/>
      <c r="B114" s="72"/>
      <c r="C114" s="72"/>
      <c r="D114" s="54" t="s">
        <v>52</v>
      </c>
      <c r="E114" s="14" t="s">
        <v>53</v>
      </c>
      <c r="F114" s="25">
        <v>40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69"/>
      <c r="B115" s="72"/>
      <c r="C115" s="72"/>
      <c r="D115" s="54" t="s">
        <v>61</v>
      </c>
      <c r="E115" s="44" t="s">
        <v>17</v>
      </c>
      <c r="F115" s="25">
        <f>0.47*(48000+3200+1250000)/79</f>
        <v>7741.3164556962029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0"/>
      <c r="B116" s="73"/>
      <c r="C116" s="73"/>
      <c r="D116" s="54" t="s">
        <v>36</v>
      </c>
      <c r="E116" s="44" t="s">
        <v>17</v>
      </c>
      <c r="F116" s="25">
        <f>(76500+33744)*0.31/79</f>
        <v>432.60303797468356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68" t="s">
        <v>64</v>
      </c>
      <c r="B117" s="71" t="s">
        <v>65</v>
      </c>
      <c r="C117" s="71" t="s">
        <v>11</v>
      </c>
      <c r="D117" s="77" t="s">
        <v>12</v>
      </c>
      <c r="E117" s="78"/>
      <c r="F117" s="7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69"/>
      <c r="B118" s="72"/>
      <c r="C118" s="72"/>
      <c r="D118" s="80" t="s">
        <v>13</v>
      </c>
      <c r="E118" s="80"/>
      <c r="F118" s="8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69"/>
      <c r="B119" s="72"/>
      <c r="C119" s="72"/>
      <c r="D119" s="43" t="s">
        <v>14</v>
      </c>
      <c r="E119" s="44" t="s">
        <v>15</v>
      </c>
      <c r="F119" s="45">
        <v>40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69"/>
      <c r="B120" s="72"/>
      <c r="C120" s="72"/>
      <c r="D120" s="46" t="s">
        <v>16</v>
      </c>
      <c r="E120" s="47" t="s">
        <v>17</v>
      </c>
      <c r="F120" s="45">
        <f>14833400*0.02/6</f>
        <v>49444.666666666664</v>
      </c>
      <c r="G120" s="8"/>
      <c r="H120" s="8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69"/>
      <c r="B121" s="72"/>
      <c r="C121" s="72"/>
      <c r="D121" s="48" t="s">
        <v>18</v>
      </c>
      <c r="E121" s="47" t="s">
        <v>17</v>
      </c>
      <c r="F121" s="25">
        <f>F120*30.2%</f>
        <v>14932.289333333332</v>
      </c>
      <c r="G121"/>
      <c r="H121" s="8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69"/>
      <c r="B122" s="72"/>
      <c r="C122" s="72"/>
      <c r="D122" s="77" t="s">
        <v>19</v>
      </c>
      <c r="E122" s="78"/>
      <c r="F122" s="79"/>
      <c r="G122"/>
      <c r="H122" s="8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69"/>
      <c r="B123" s="72"/>
      <c r="C123" s="72"/>
      <c r="D123" s="80" t="s">
        <v>20</v>
      </c>
      <c r="E123" s="80"/>
      <c r="F123" s="80"/>
      <c r="G123"/>
      <c r="H123" s="8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69"/>
      <c r="B124" s="72"/>
      <c r="C124" s="72"/>
      <c r="D124" s="15" t="s">
        <v>21</v>
      </c>
      <c r="E124" s="27" t="s">
        <v>22</v>
      </c>
      <c r="F124" s="12">
        <f>568000*0.02/61</f>
        <v>186.2295081967213</v>
      </c>
      <c r="G124" s="8"/>
      <c r="H124" s="8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69"/>
      <c r="B125" s="72"/>
      <c r="C125" s="72"/>
      <c r="D125" s="15" t="s">
        <v>24</v>
      </c>
      <c r="E125" s="27" t="s">
        <v>25</v>
      </c>
      <c r="F125" s="12">
        <f>2500000*0.02/61</f>
        <v>819.67213114754099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69"/>
      <c r="B126" s="72"/>
      <c r="C126" s="72"/>
      <c r="D126" s="15" t="s">
        <v>26</v>
      </c>
      <c r="E126" s="27" t="s">
        <v>27</v>
      </c>
      <c r="F126" s="12">
        <f>88500*0.02/61</f>
        <v>29.016393442622952</v>
      </c>
      <c r="G126"/>
      <c r="H126" s="8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69"/>
      <c r="B127" s="72"/>
      <c r="C127" s="72"/>
      <c r="D127" s="49" t="s">
        <v>57</v>
      </c>
      <c r="E127" s="27" t="s">
        <v>30</v>
      </c>
      <c r="F127" s="50">
        <f>90000*0.02/61</f>
        <v>29.508196721311474</v>
      </c>
      <c r="G127"/>
      <c r="H127" s="8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69"/>
      <c r="B128" s="72"/>
      <c r="C128" s="72"/>
      <c r="D128" s="77" t="s">
        <v>28</v>
      </c>
      <c r="E128" s="78"/>
      <c r="F128" s="79"/>
      <c r="G128"/>
      <c r="H128" s="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69"/>
      <c r="B129" s="72"/>
      <c r="C129" s="72"/>
      <c r="D129" s="11" t="s">
        <v>29</v>
      </c>
      <c r="E129" s="10" t="s">
        <v>30</v>
      </c>
      <c r="F129" s="31">
        <f>12400*0.08/6</f>
        <v>165.33333333333334</v>
      </c>
      <c r="G129" s="8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69"/>
      <c r="B130" s="72"/>
      <c r="C130" s="72"/>
      <c r="D130" s="11" t="s">
        <v>31</v>
      </c>
      <c r="E130" s="10" t="s">
        <v>30</v>
      </c>
      <c r="F130" s="31">
        <f>(40000+1000)*0.08/6</f>
        <v>546.66666666666663</v>
      </c>
      <c r="G130" s="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69"/>
      <c r="B131" s="72"/>
      <c r="C131" s="72"/>
      <c r="D131" s="11" t="s">
        <v>58</v>
      </c>
      <c r="E131" s="10" t="s">
        <v>30</v>
      </c>
      <c r="F131" s="12">
        <f>0.12*(10000+2500)/6</f>
        <v>250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69"/>
      <c r="B132" s="72"/>
      <c r="C132" s="72"/>
      <c r="D132" s="11" t="s">
        <v>34</v>
      </c>
      <c r="E132" s="10" t="s">
        <v>30</v>
      </c>
      <c r="F132" s="45">
        <f>(50400+24400)*0.12/6</f>
        <v>1496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69"/>
      <c r="B133" s="72"/>
      <c r="C133" s="72"/>
      <c r="D133" s="51" t="s">
        <v>35</v>
      </c>
      <c r="E133" s="10" t="s">
        <v>30</v>
      </c>
      <c r="F133" s="45">
        <f>24000*0.12/6</f>
        <v>480</v>
      </c>
      <c r="G133"/>
      <c r="H133" s="8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69"/>
      <c r="B134" s="72"/>
      <c r="C134" s="72"/>
      <c r="D134" s="11" t="s">
        <v>36</v>
      </c>
      <c r="E134" s="10" t="s">
        <v>30</v>
      </c>
      <c r="F134" s="45">
        <f>52000*0.12/6</f>
        <v>1040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69"/>
      <c r="B135" s="72"/>
      <c r="C135" s="72"/>
      <c r="D135" s="11" t="s">
        <v>37</v>
      </c>
      <c r="E135" s="10" t="s">
        <v>30</v>
      </c>
      <c r="F135" s="45">
        <f>30000*0.12/6</f>
        <v>600</v>
      </c>
      <c r="G135"/>
      <c r="H135" s="8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69"/>
      <c r="B136" s="72"/>
      <c r="C136" s="72"/>
      <c r="D136" s="51" t="s">
        <v>59</v>
      </c>
      <c r="E136" s="10" t="s">
        <v>30</v>
      </c>
      <c r="F136" s="45">
        <f>24000*0.12/6</f>
        <v>480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69"/>
      <c r="B137" s="72"/>
      <c r="C137" s="72"/>
      <c r="D137" s="77" t="s">
        <v>39</v>
      </c>
      <c r="E137" s="78"/>
      <c r="F137" s="79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69"/>
      <c r="B138" s="72"/>
      <c r="C138" s="72"/>
      <c r="D138" s="11" t="s">
        <v>40</v>
      </c>
      <c r="E138" s="52" t="s">
        <v>41</v>
      </c>
      <c r="F138" s="12">
        <v>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69"/>
      <c r="B139" s="72"/>
      <c r="C139" s="72"/>
      <c r="D139" s="77" t="s">
        <v>42</v>
      </c>
      <c r="E139" s="78"/>
      <c r="F139" s="7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69"/>
      <c r="B140" s="72"/>
      <c r="C140" s="72"/>
      <c r="D140" s="11" t="s">
        <v>43</v>
      </c>
      <c r="E140" s="11" t="s">
        <v>30</v>
      </c>
      <c r="F140" s="12">
        <f>0.12*7000/6</f>
        <v>140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69"/>
      <c r="B141" s="72"/>
      <c r="C141" s="72"/>
      <c r="D141" s="80" t="s">
        <v>45</v>
      </c>
      <c r="E141" s="80"/>
      <c r="F141" s="80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69"/>
      <c r="B142" s="72"/>
      <c r="C142" s="72"/>
      <c r="D142" s="53" t="s">
        <v>46</v>
      </c>
      <c r="E142" s="10" t="s">
        <v>15</v>
      </c>
      <c r="F142" s="12">
        <v>18.5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69"/>
      <c r="B143" s="72"/>
      <c r="C143" s="72"/>
      <c r="D143" s="46" t="s">
        <v>16</v>
      </c>
      <c r="E143" s="47" t="s">
        <v>17</v>
      </c>
      <c r="F143" s="25">
        <f>6407500*0.02/6</f>
        <v>21358.333333333332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69"/>
      <c r="B144" s="72"/>
      <c r="C144" s="72"/>
      <c r="D144" s="48" t="s">
        <v>18</v>
      </c>
      <c r="E144" s="47" t="s">
        <v>17</v>
      </c>
      <c r="F144" s="25">
        <f>F143*30.2%</f>
        <v>6450.2166666666662</v>
      </c>
      <c r="G144"/>
      <c r="H144" s="8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69"/>
      <c r="B145" s="72"/>
      <c r="C145" s="72"/>
      <c r="D145" s="77" t="s">
        <v>47</v>
      </c>
      <c r="E145" s="78"/>
      <c r="F145" s="79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69"/>
      <c r="B146" s="72"/>
      <c r="C146" s="72"/>
      <c r="D146" s="54" t="s">
        <v>48</v>
      </c>
      <c r="E146" s="14" t="s">
        <v>17</v>
      </c>
      <c r="F146" s="25">
        <f>10000*0.12/7</f>
        <v>171.42857142857142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69"/>
      <c r="B147" s="72"/>
      <c r="C147" s="72"/>
      <c r="D147" s="54" t="s">
        <v>49</v>
      </c>
      <c r="E147" s="14" t="s">
        <v>17</v>
      </c>
      <c r="F147" s="25">
        <f>(13000+20000)*0.12/7</f>
        <v>565.71428571428567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69"/>
      <c r="B148" s="72"/>
      <c r="C148" s="72"/>
      <c r="D148" s="54" t="s">
        <v>60</v>
      </c>
      <c r="E148" s="14" t="s">
        <v>17</v>
      </c>
      <c r="F148" s="25">
        <f>0.12*92256/7</f>
        <v>1581.5314285714285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69"/>
      <c r="B149" s="72"/>
      <c r="C149" s="72"/>
      <c r="D149" s="54" t="s">
        <v>38</v>
      </c>
      <c r="E149" s="14" t="s">
        <v>17</v>
      </c>
      <c r="F149" s="25">
        <f>0.12*50000/7</f>
        <v>857.14285714285711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69"/>
      <c r="B150" s="72"/>
      <c r="C150" s="72"/>
      <c r="D150" s="54" t="s">
        <v>52</v>
      </c>
      <c r="E150" s="14" t="s">
        <v>53</v>
      </c>
      <c r="F150" s="25">
        <v>40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69"/>
      <c r="B151" s="72"/>
      <c r="C151" s="72"/>
      <c r="D151" s="54" t="s">
        <v>61</v>
      </c>
      <c r="E151" s="44" t="s">
        <v>17</v>
      </c>
      <c r="F151" s="25">
        <f>0.12*(48000+3200+1250000)/7</f>
        <v>22306.285714285714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0"/>
      <c r="B152" s="73"/>
      <c r="C152" s="73"/>
      <c r="D152" s="54" t="s">
        <v>36</v>
      </c>
      <c r="E152" s="44" t="s">
        <v>17</v>
      </c>
      <c r="F152" s="25">
        <f>(76500+33744)*0.08/7</f>
        <v>1259.9314285714286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68" t="s">
        <v>78</v>
      </c>
      <c r="B153" s="81" t="s">
        <v>66</v>
      </c>
      <c r="C153" s="71" t="s">
        <v>11</v>
      </c>
      <c r="D153" s="77" t="s">
        <v>12</v>
      </c>
      <c r="E153" s="78"/>
      <c r="F153" s="79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69"/>
      <c r="B154" s="82"/>
      <c r="C154" s="72"/>
      <c r="D154" s="80" t="s">
        <v>13</v>
      </c>
      <c r="E154" s="80"/>
      <c r="F154" s="80"/>
      <c r="G154"/>
      <c r="H154" s="8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69"/>
      <c r="B155" s="82"/>
      <c r="C155" s="72"/>
      <c r="D155" s="43" t="s">
        <v>14</v>
      </c>
      <c r="E155" s="44" t="s">
        <v>15</v>
      </c>
      <c r="F155" s="45" t="s">
        <v>23</v>
      </c>
      <c r="G155"/>
      <c r="H155" s="8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69"/>
      <c r="B156" s="82"/>
      <c r="C156" s="72"/>
      <c r="D156" s="46" t="s">
        <v>16</v>
      </c>
      <c r="E156" s="47" t="s">
        <v>17</v>
      </c>
      <c r="F156" s="45" t="s">
        <v>23</v>
      </c>
      <c r="G156"/>
      <c r="H156" s="8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69"/>
      <c r="B157" s="82"/>
      <c r="C157" s="72"/>
      <c r="D157" s="48" t="s">
        <v>18</v>
      </c>
      <c r="E157" s="47" t="s">
        <v>17</v>
      </c>
      <c r="F157" s="45" t="s">
        <v>23</v>
      </c>
      <c r="G157" s="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69"/>
      <c r="B158" s="82"/>
      <c r="C158" s="72"/>
      <c r="D158" s="84" t="s">
        <v>19</v>
      </c>
      <c r="E158" s="85"/>
      <c r="F158" s="86"/>
      <c r="G158"/>
      <c r="H158" s="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69"/>
      <c r="B159" s="82"/>
      <c r="C159" s="72"/>
      <c r="D159" s="84" t="s">
        <v>20</v>
      </c>
      <c r="E159" s="85"/>
      <c r="F159" s="86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69"/>
      <c r="B160" s="82"/>
      <c r="C160" s="72"/>
      <c r="D160" s="15" t="s">
        <v>21</v>
      </c>
      <c r="E160" s="27" t="s">
        <v>22</v>
      </c>
      <c r="F160" s="12">
        <f>568000*0.46/61</f>
        <v>4283.2786885245905</v>
      </c>
      <c r="G160" s="8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69"/>
      <c r="B161" s="82"/>
      <c r="C161" s="72"/>
      <c r="D161" s="15" t="s">
        <v>24</v>
      </c>
      <c r="E161" s="27" t="s">
        <v>25</v>
      </c>
      <c r="F161" s="12">
        <f>2500000*0.46/61</f>
        <v>18852.459016393441</v>
      </c>
      <c r="G161"/>
      <c r="H161" s="8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69"/>
      <c r="B162" s="82"/>
      <c r="C162" s="72"/>
      <c r="D162" s="15" t="s">
        <v>26</v>
      </c>
      <c r="E162" s="27" t="s">
        <v>27</v>
      </c>
      <c r="F162" s="12">
        <f>88500*0.46/61</f>
        <v>667.37704918032784</v>
      </c>
      <c r="G162"/>
      <c r="H162" s="8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69"/>
      <c r="B163" s="82"/>
      <c r="C163" s="72"/>
      <c r="D163" s="49" t="s">
        <v>57</v>
      </c>
      <c r="E163" s="27" t="s">
        <v>30</v>
      </c>
      <c r="F163" s="50">
        <f>90000*0.46/61</f>
        <v>678.68852459016398</v>
      </c>
      <c r="G163"/>
      <c r="H163" s="8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69"/>
      <c r="B164" s="82"/>
      <c r="C164" s="72"/>
      <c r="D164" s="77" t="s">
        <v>28</v>
      </c>
      <c r="E164" s="78"/>
      <c r="F164" s="79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ht="15.75" thickBot="1" x14ac:dyDescent="0.3">
      <c r="A165" s="69"/>
      <c r="B165" s="82"/>
      <c r="C165" s="72"/>
      <c r="D165" s="11" t="s">
        <v>29</v>
      </c>
      <c r="E165" s="10" t="s">
        <v>30</v>
      </c>
      <c r="F165" s="31">
        <f>12400*0.11/132</f>
        <v>10.333333333333334</v>
      </c>
      <c r="G165" s="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ht="15.75" thickBot="1" x14ac:dyDescent="0.3">
      <c r="A166" s="69"/>
      <c r="B166" s="82"/>
      <c r="C166" s="72"/>
      <c r="D166" s="11" t="s">
        <v>31</v>
      </c>
      <c r="E166" s="10" t="s">
        <v>30</v>
      </c>
      <c r="F166" s="31">
        <f>(40000+1000)*0.11/132</f>
        <v>34.166666666666664</v>
      </c>
      <c r="G166" s="8"/>
      <c r="H166" s="63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69"/>
      <c r="B167" s="82"/>
      <c r="C167" s="72"/>
      <c r="D167" s="11" t="s">
        <v>32</v>
      </c>
      <c r="E167" s="10" t="s">
        <v>33</v>
      </c>
      <c r="F167" s="12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69"/>
      <c r="B168" s="82"/>
      <c r="C168" s="72"/>
      <c r="D168" s="11" t="s">
        <v>34</v>
      </c>
      <c r="E168" s="10" t="s">
        <v>30</v>
      </c>
      <c r="F168" s="12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69"/>
      <c r="B169" s="82"/>
      <c r="C169" s="72"/>
      <c r="D169" s="51" t="s">
        <v>35</v>
      </c>
      <c r="E169" s="10" t="s">
        <v>30</v>
      </c>
      <c r="F169" s="12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69"/>
      <c r="B170" s="82"/>
      <c r="C170" s="72"/>
      <c r="D170" s="11" t="s">
        <v>36</v>
      </c>
      <c r="E170" s="10" t="s">
        <v>30</v>
      </c>
      <c r="F170" s="12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69"/>
      <c r="B171" s="82"/>
      <c r="C171" s="72"/>
      <c r="D171" s="11" t="s">
        <v>37</v>
      </c>
      <c r="E171" s="10" t="s">
        <v>30</v>
      </c>
      <c r="F171" s="12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69"/>
      <c r="B172" s="82"/>
      <c r="C172" s="72"/>
      <c r="D172" s="51" t="s">
        <v>59</v>
      </c>
      <c r="E172" s="10" t="s">
        <v>30</v>
      </c>
      <c r="F172" s="12" t="s">
        <v>23</v>
      </c>
      <c r="G172"/>
      <c r="H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69"/>
      <c r="B173" s="82"/>
      <c r="C173" s="72"/>
      <c r="D173" s="77" t="s">
        <v>39</v>
      </c>
      <c r="E173" s="78"/>
      <c r="F173" s="7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69"/>
      <c r="B174" s="82"/>
      <c r="C174" s="72"/>
      <c r="D174" s="11" t="s">
        <v>40</v>
      </c>
      <c r="E174" s="56" t="s">
        <v>41</v>
      </c>
      <c r="F174" s="12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69"/>
      <c r="B175" s="82"/>
      <c r="C175" s="72"/>
      <c r="D175" s="77" t="s">
        <v>42</v>
      </c>
      <c r="E175" s="78"/>
      <c r="F175" s="79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69"/>
      <c r="B176" s="82"/>
      <c r="C176" s="72"/>
      <c r="D176" s="11" t="s">
        <v>43</v>
      </c>
      <c r="E176" s="11" t="s">
        <v>44</v>
      </c>
      <c r="F176" s="12" t="s">
        <v>23</v>
      </c>
      <c r="G176"/>
      <c r="H176" s="8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69"/>
      <c r="B177" s="82"/>
      <c r="C177" s="72"/>
      <c r="D177" s="80" t="s">
        <v>45</v>
      </c>
      <c r="E177" s="80"/>
      <c r="F177" s="80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69"/>
      <c r="B178" s="82"/>
      <c r="C178" s="72"/>
      <c r="D178" s="53" t="s">
        <v>46</v>
      </c>
      <c r="E178" s="10" t="s">
        <v>15</v>
      </c>
      <c r="F178" s="12">
        <v>18.5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69"/>
      <c r="B179" s="82"/>
      <c r="C179" s="72"/>
      <c r="D179" s="46" t="s">
        <v>16</v>
      </c>
      <c r="E179" s="47" t="s">
        <v>17</v>
      </c>
      <c r="F179" s="25">
        <f>6407500*0.46/132</f>
        <v>22329.166666666668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69"/>
      <c r="B180" s="82"/>
      <c r="C180" s="72"/>
      <c r="D180" s="48" t="s">
        <v>18</v>
      </c>
      <c r="E180" s="47" t="s">
        <v>17</v>
      </c>
      <c r="F180" s="25">
        <f>F179*30.2%</f>
        <v>6743.4083333333338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69"/>
      <c r="B181" s="82"/>
      <c r="C181" s="72"/>
      <c r="D181" s="77" t="s">
        <v>47</v>
      </c>
      <c r="E181" s="78"/>
      <c r="F181" s="79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69"/>
      <c r="B182" s="82"/>
      <c r="C182" s="72"/>
      <c r="D182" s="54" t="s">
        <v>48</v>
      </c>
      <c r="E182" s="14" t="s">
        <v>17</v>
      </c>
      <c r="F182" s="25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69"/>
      <c r="B183" s="82"/>
      <c r="C183" s="72"/>
      <c r="D183" s="54" t="s">
        <v>49</v>
      </c>
      <c r="E183" s="14" t="s">
        <v>17</v>
      </c>
      <c r="F183" s="25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69"/>
      <c r="B184" s="82"/>
      <c r="C184" s="72"/>
      <c r="D184" s="54" t="s">
        <v>67</v>
      </c>
      <c r="E184" s="14" t="s">
        <v>17</v>
      </c>
      <c r="F184" s="25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69"/>
      <c r="B185" s="82"/>
      <c r="C185" s="72"/>
      <c r="D185" s="54" t="s">
        <v>51</v>
      </c>
      <c r="E185" s="14" t="s">
        <v>17</v>
      </c>
      <c r="F185" s="25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69"/>
      <c r="B186" s="82"/>
      <c r="C186" s="72"/>
      <c r="D186" s="54" t="s">
        <v>55</v>
      </c>
      <c r="E186" s="44" t="s">
        <v>17</v>
      </c>
      <c r="F186" s="25">
        <f>962329*0.4/132</f>
        <v>2916.1484848484852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69"/>
      <c r="B187" s="82"/>
      <c r="C187" s="72"/>
      <c r="D187" s="54" t="s">
        <v>54</v>
      </c>
      <c r="E187" s="44" t="s">
        <v>17</v>
      </c>
      <c r="F187" s="25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0"/>
      <c r="B188" s="83"/>
      <c r="C188" s="73"/>
      <c r="D188" s="54" t="s">
        <v>36</v>
      </c>
      <c r="E188" s="44" t="s">
        <v>17</v>
      </c>
      <c r="F188" s="25">
        <f>76500*0.11/132</f>
        <v>63.75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68" t="s">
        <v>79</v>
      </c>
      <c r="B189" s="81" t="s">
        <v>68</v>
      </c>
      <c r="C189" s="71" t="s">
        <v>11</v>
      </c>
      <c r="D189" s="77" t="s">
        <v>12</v>
      </c>
      <c r="E189" s="78"/>
      <c r="F189" s="7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69"/>
      <c r="B190" s="82"/>
      <c r="C190" s="72"/>
      <c r="D190" s="80" t="s">
        <v>13</v>
      </c>
      <c r="E190" s="80"/>
      <c r="F190" s="8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69"/>
      <c r="B191" s="82"/>
      <c r="C191" s="72"/>
      <c r="D191" s="43" t="s">
        <v>14</v>
      </c>
      <c r="E191" s="44" t="s">
        <v>15</v>
      </c>
      <c r="F191" s="45" t="s">
        <v>23</v>
      </c>
      <c r="G191"/>
      <c r="H191" s="8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69"/>
      <c r="B192" s="82"/>
      <c r="C192" s="72"/>
      <c r="D192" s="46" t="s">
        <v>16</v>
      </c>
      <c r="E192" s="47" t="s">
        <v>17</v>
      </c>
      <c r="F192" s="45" t="s">
        <v>23</v>
      </c>
      <c r="G192"/>
      <c r="H192" s="8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69"/>
      <c r="B193" s="82"/>
      <c r="C193" s="72"/>
      <c r="D193" s="48" t="s">
        <v>18</v>
      </c>
      <c r="E193" s="47" t="s">
        <v>17</v>
      </c>
      <c r="F193" s="45" t="s">
        <v>23</v>
      </c>
      <c r="G193" s="8"/>
      <c r="H193" s="8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69"/>
      <c r="B194" s="82"/>
      <c r="C194" s="72"/>
      <c r="D194" s="77" t="s">
        <v>19</v>
      </c>
      <c r="E194" s="78"/>
      <c r="F194" s="79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69"/>
      <c r="B195" s="82"/>
      <c r="C195" s="72"/>
      <c r="D195" s="77" t="s">
        <v>20</v>
      </c>
      <c r="E195" s="78"/>
      <c r="F195" s="79"/>
      <c r="G195"/>
      <c r="H195" s="8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69"/>
      <c r="B196" s="82"/>
      <c r="C196" s="72"/>
      <c r="D196" s="15" t="s">
        <v>21</v>
      </c>
      <c r="E196" s="27" t="s">
        <v>22</v>
      </c>
      <c r="F196" s="12">
        <f>568000*0.03/61</f>
        <v>279.34426229508199</v>
      </c>
      <c r="G196" s="8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69"/>
      <c r="B197" s="82"/>
      <c r="C197" s="72"/>
      <c r="D197" s="15" t="s">
        <v>24</v>
      </c>
      <c r="E197" s="27" t="s">
        <v>25</v>
      </c>
      <c r="F197" s="12">
        <f>2500000*0.03/61</f>
        <v>1229.5081967213114</v>
      </c>
      <c r="G197"/>
      <c r="H197" s="8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69"/>
      <c r="B198" s="82"/>
      <c r="C198" s="72"/>
      <c r="D198" s="15" t="s">
        <v>26</v>
      </c>
      <c r="E198" s="27" t="s">
        <v>27</v>
      </c>
      <c r="F198" s="12">
        <f>88500*0.03/61</f>
        <v>43.524590163934427</v>
      </c>
      <c r="G198"/>
      <c r="H198" s="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69"/>
      <c r="B199" s="82"/>
      <c r="C199" s="72"/>
      <c r="D199" s="49" t="s">
        <v>57</v>
      </c>
      <c r="E199" s="27" t="s">
        <v>30</v>
      </c>
      <c r="F199" s="50">
        <f>90000*0.03/61</f>
        <v>44.26229508196721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69"/>
      <c r="B200" s="82"/>
      <c r="C200" s="72"/>
      <c r="D200" s="77" t="s">
        <v>28</v>
      </c>
      <c r="E200" s="78"/>
      <c r="F200" s="79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69"/>
      <c r="B201" s="82"/>
      <c r="C201" s="72"/>
      <c r="D201" s="11" t="s">
        <v>29</v>
      </c>
      <c r="E201" s="10" t="s">
        <v>30</v>
      </c>
      <c r="F201" s="31">
        <f>12400*0.16/8</f>
        <v>248</v>
      </c>
      <c r="G201" s="8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69"/>
      <c r="B202" s="82"/>
      <c r="C202" s="72"/>
      <c r="D202" s="11" t="s">
        <v>31</v>
      </c>
      <c r="E202" s="10" t="s">
        <v>30</v>
      </c>
      <c r="F202" s="31">
        <f>(40000+1000)*0.16/8</f>
        <v>820</v>
      </c>
      <c r="G202" s="8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69"/>
      <c r="B203" s="82"/>
      <c r="C203" s="72"/>
      <c r="D203" s="11" t="s">
        <v>32</v>
      </c>
      <c r="E203" s="10" t="s">
        <v>33</v>
      </c>
      <c r="F203" s="12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69"/>
      <c r="B204" s="82"/>
      <c r="C204" s="72"/>
      <c r="D204" s="11" t="s">
        <v>34</v>
      </c>
      <c r="E204" s="10" t="s">
        <v>30</v>
      </c>
      <c r="F204" s="12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69"/>
      <c r="B205" s="82"/>
      <c r="C205" s="72"/>
      <c r="D205" s="51" t="s">
        <v>35</v>
      </c>
      <c r="E205" s="10" t="s">
        <v>30</v>
      </c>
      <c r="F205" s="12" t="s">
        <v>23</v>
      </c>
      <c r="G205"/>
      <c r="H205" s="8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69"/>
      <c r="B206" s="82"/>
      <c r="C206" s="72"/>
      <c r="D206" s="11" t="s">
        <v>36</v>
      </c>
      <c r="E206" s="10" t="s">
        <v>30</v>
      </c>
      <c r="F206" s="12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69"/>
      <c r="B207" s="82"/>
      <c r="C207" s="72"/>
      <c r="D207" s="11" t="s">
        <v>37</v>
      </c>
      <c r="E207" s="10" t="s">
        <v>30</v>
      </c>
      <c r="F207" s="12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69"/>
      <c r="B208" s="82"/>
      <c r="C208" s="72"/>
      <c r="D208" s="51" t="s">
        <v>59</v>
      </c>
      <c r="E208" s="10" t="s">
        <v>30</v>
      </c>
      <c r="F208" s="12" t="s">
        <v>23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69"/>
      <c r="B209" s="82"/>
      <c r="C209" s="72"/>
      <c r="D209" s="77" t="s">
        <v>39</v>
      </c>
      <c r="E209" s="78"/>
      <c r="F209" s="7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69"/>
      <c r="B210" s="82"/>
      <c r="C210" s="72"/>
      <c r="D210" s="11" t="s">
        <v>40</v>
      </c>
      <c r="E210" s="52" t="s">
        <v>41</v>
      </c>
      <c r="F210" s="12" t="s">
        <v>23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69"/>
      <c r="B211" s="82"/>
      <c r="C211" s="72"/>
      <c r="D211" s="77" t="s">
        <v>42</v>
      </c>
      <c r="E211" s="78"/>
      <c r="F211" s="79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69"/>
      <c r="B212" s="82"/>
      <c r="C212" s="72"/>
      <c r="D212" s="11" t="s">
        <v>43</v>
      </c>
      <c r="E212" s="10" t="s">
        <v>44</v>
      </c>
      <c r="F212" s="12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69"/>
      <c r="B213" s="82"/>
      <c r="C213" s="72"/>
      <c r="D213" s="77" t="s">
        <v>45</v>
      </c>
      <c r="E213" s="78"/>
      <c r="F213" s="79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69"/>
      <c r="B214" s="82"/>
      <c r="C214" s="72"/>
      <c r="D214" s="53" t="s">
        <v>46</v>
      </c>
      <c r="E214" s="10" t="s">
        <v>15</v>
      </c>
      <c r="F214" s="12">
        <v>18.5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69"/>
      <c r="B215" s="82"/>
      <c r="C215" s="72"/>
      <c r="D215" s="46" t="s">
        <v>16</v>
      </c>
      <c r="E215" s="47" t="s">
        <v>17</v>
      </c>
      <c r="F215" s="25">
        <f>6407500*0.03/8</f>
        <v>24028.125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69"/>
      <c r="B216" s="82"/>
      <c r="C216" s="72"/>
      <c r="D216" s="48" t="s">
        <v>18</v>
      </c>
      <c r="E216" s="47" t="s">
        <v>17</v>
      </c>
      <c r="F216" s="25">
        <f>F215*30.2%</f>
        <v>7256.4937499999996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69"/>
      <c r="B217" s="82"/>
      <c r="C217" s="72"/>
      <c r="D217" s="77" t="s">
        <v>47</v>
      </c>
      <c r="E217" s="78"/>
      <c r="F217" s="79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69"/>
      <c r="B218" s="82"/>
      <c r="C218" s="72"/>
      <c r="D218" s="54" t="s">
        <v>48</v>
      </c>
      <c r="E218" s="14" t="s">
        <v>17</v>
      </c>
      <c r="F218" s="25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69"/>
      <c r="B219" s="82"/>
      <c r="C219" s="72"/>
      <c r="D219" s="54" t="s">
        <v>49</v>
      </c>
      <c r="E219" s="14" t="s">
        <v>17</v>
      </c>
      <c r="F219" s="25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69"/>
      <c r="B220" s="82"/>
      <c r="C220" s="72"/>
      <c r="D220" s="54" t="s">
        <v>67</v>
      </c>
      <c r="E220" s="14" t="s">
        <v>17</v>
      </c>
      <c r="F220" s="25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69"/>
      <c r="B221" s="82"/>
      <c r="C221" s="72"/>
      <c r="D221" s="54" t="s">
        <v>51</v>
      </c>
      <c r="E221" s="14" t="s">
        <v>17</v>
      </c>
      <c r="F221" s="25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69"/>
      <c r="B222" s="82"/>
      <c r="C222" s="72"/>
      <c r="D222" s="54" t="s">
        <v>55</v>
      </c>
      <c r="E222" s="44" t="s">
        <v>17</v>
      </c>
      <c r="F222" s="25">
        <f>962329*0.47/65</f>
        <v>6958.3789230769225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69"/>
      <c r="B223" s="82"/>
      <c r="C223" s="72"/>
      <c r="D223" s="54" t="s">
        <v>54</v>
      </c>
      <c r="E223" s="44" t="s">
        <v>17</v>
      </c>
      <c r="F223" s="25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0"/>
      <c r="B224" s="83"/>
      <c r="C224" s="73"/>
      <c r="D224" s="54" t="s">
        <v>36</v>
      </c>
      <c r="E224" s="44" t="s">
        <v>17</v>
      </c>
      <c r="F224" s="25">
        <f>76500*0.16/65</f>
        <v>188.30769230769232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68" t="s">
        <v>69</v>
      </c>
      <c r="B225" s="71" t="s">
        <v>70</v>
      </c>
      <c r="C225" s="71" t="s">
        <v>11</v>
      </c>
      <c r="D225" s="84" t="s">
        <v>12</v>
      </c>
      <c r="E225" s="85"/>
      <c r="F225" s="8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69"/>
      <c r="B226" s="72"/>
      <c r="C226" s="72"/>
      <c r="D226" s="87" t="s">
        <v>13</v>
      </c>
      <c r="E226" s="87"/>
      <c r="F226" s="8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69"/>
      <c r="B227" s="72"/>
      <c r="C227" s="72"/>
      <c r="D227" s="43" t="s">
        <v>71</v>
      </c>
      <c r="E227" s="44" t="s">
        <v>15</v>
      </c>
      <c r="F227" s="45">
        <v>40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69"/>
      <c r="B228" s="72"/>
      <c r="C228" s="72"/>
      <c r="D228" s="46" t="s">
        <v>16</v>
      </c>
      <c r="E228" s="47" t="s">
        <v>17</v>
      </c>
      <c r="F228" s="45">
        <f>677700/120</f>
        <v>5647.5</v>
      </c>
      <c r="G228" s="8"/>
      <c r="H228" s="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69"/>
      <c r="B229" s="72"/>
      <c r="C229" s="72"/>
      <c r="D229" s="48" t="s">
        <v>18</v>
      </c>
      <c r="E229" s="47" t="s">
        <v>17</v>
      </c>
      <c r="F229" s="25">
        <f>288863/120</f>
        <v>2407.1916666666666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69"/>
      <c r="B230" s="72"/>
      <c r="C230" s="72"/>
      <c r="D230" s="77" t="s">
        <v>19</v>
      </c>
      <c r="E230" s="78"/>
      <c r="F230" s="79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69"/>
      <c r="B231" s="72"/>
      <c r="C231" s="72"/>
      <c r="D231" s="77" t="s">
        <v>20</v>
      </c>
      <c r="E231" s="78"/>
      <c r="F231" s="79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69"/>
      <c r="B232" s="72"/>
      <c r="C232" s="72"/>
      <c r="D232" s="15" t="s">
        <v>21</v>
      </c>
      <c r="E232" s="27" t="s">
        <v>22</v>
      </c>
      <c r="F232" s="12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69"/>
      <c r="B233" s="72"/>
      <c r="C233" s="72"/>
      <c r="D233" s="15" t="s">
        <v>24</v>
      </c>
      <c r="E233" s="27" t="s">
        <v>25</v>
      </c>
      <c r="F233" s="12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69"/>
      <c r="B234" s="72"/>
      <c r="C234" s="72"/>
      <c r="D234" s="15" t="s">
        <v>26</v>
      </c>
      <c r="E234" s="27" t="s">
        <v>27</v>
      </c>
      <c r="F234" s="12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69"/>
      <c r="B235" s="72"/>
      <c r="C235" s="72"/>
      <c r="D235" s="77" t="s">
        <v>28</v>
      </c>
      <c r="E235" s="78"/>
      <c r="F235" s="79"/>
      <c r="G235"/>
      <c r="H235" s="8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69"/>
      <c r="B236" s="72"/>
      <c r="C236" s="72"/>
      <c r="D236" s="11" t="s">
        <v>29</v>
      </c>
      <c r="E236" s="10" t="s">
        <v>30</v>
      </c>
      <c r="F236" s="3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69"/>
      <c r="B237" s="72"/>
      <c r="C237" s="72"/>
      <c r="D237" s="11" t="s">
        <v>31</v>
      </c>
      <c r="E237" s="10" t="s">
        <v>30</v>
      </c>
      <c r="F237" s="3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69"/>
      <c r="B238" s="72"/>
      <c r="C238" s="72"/>
      <c r="D238" s="11" t="s">
        <v>32</v>
      </c>
      <c r="E238" s="10" t="s">
        <v>33</v>
      </c>
      <c r="F238" s="31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69"/>
      <c r="B239" s="72"/>
      <c r="C239" s="72"/>
      <c r="D239" s="11" t="s">
        <v>34</v>
      </c>
      <c r="E239" s="10" t="s">
        <v>30</v>
      </c>
      <c r="F239" s="31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69"/>
      <c r="B240" s="72"/>
      <c r="C240" s="72"/>
      <c r="D240" s="51" t="s">
        <v>35</v>
      </c>
      <c r="E240" s="10" t="s">
        <v>30</v>
      </c>
      <c r="F240" s="31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69"/>
      <c r="B241" s="72"/>
      <c r="C241" s="72"/>
      <c r="D241" s="11" t="s">
        <v>36</v>
      </c>
      <c r="E241" s="10" t="s">
        <v>30</v>
      </c>
      <c r="F241" s="3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69"/>
      <c r="B242" s="72"/>
      <c r="C242" s="72"/>
      <c r="D242" s="11" t="s">
        <v>37</v>
      </c>
      <c r="E242" s="10" t="s">
        <v>30</v>
      </c>
      <c r="F242" s="3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69"/>
      <c r="B243" s="72"/>
      <c r="C243" s="72"/>
      <c r="D243" s="51" t="s">
        <v>59</v>
      </c>
      <c r="E243" s="10" t="s">
        <v>30</v>
      </c>
      <c r="F243" s="3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69"/>
      <c r="B244" s="72"/>
      <c r="C244" s="72"/>
      <c r="D244" s="77" t="s">
        <v>39</v>
      </c>
      <c r="E244" s="78"/>
      <c r="F244" s="79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69"/>
      <c r="B245" s="72"/>
      <c r="C245" s="72"/>
      <c r="D245" s="11" t="s">
        <v>40</v>
      </c>
      <c r="E245" s="52" t="s">
        <v>41</v>
      </c>
      <c r="F245" s="12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69"/>
      <c r="B246" s="72"/>
      <c r="C246" s="72"/>
      <c r="D246" s="77" t="s">
        <v>42</v>
      </c>
      <c r="E246" s="78"/>
      <c r="F246" s="79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69"/>
      <c r="B247" s="72"/>
      <c r="C247" s="72"/>
      <c r="D247" s="11" t="s">
        <v>43</v>
      </c>
      <c r="E247" s="10" t="s">
        <v>44</v>
      </c>
      <c r="F247" s="12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69"/>
      <c r="B248" s="72"/>
      <c r="C248" s="72"/>
      <c r="D248" s="77" t="s">
        <v>45</v>
      </c>
      <c r="E248" s="78"/>
      <c r="F248" s="79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69"/>
      <c r="B249" s="72"/>
      <c r="C249" s="72"/>
      <c r="D249" s="53" t="s">
        <v>46</v>
      </c>
      <c r="E249" s="10" t="s">
        <v>15</v>
      </c>
      <c r="F249" s="12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69"/>
      <c r="B250" s="72"/>
      <c r="C250" s="72"/>
      <c r="D250" s="46" t="s">
        <v>16</v>
      </c>
      <c r="E250" s="47" t="s">
        <v>17</v>
      </c>
      <c r="F250" s="25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69"/>
      <c r="B251" s="72"/>
      <c r="C251" s="72"/>
      <c r="D251" s="48" t="s">
        <v>18</v>
      </c>
      <c r="E251" s="47" t="s">
        <v>17</v>
      </c>
      <c r="F251" s="25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69"/>
      <c r="B252" s="72"/>
      <c r="C252" s="72"/>
      <c r="D252" s="77" t="s">
        <v>47</v>
      </c>
      <c r="E252" s="78"/>
      <c r="F252" s="79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69"/>
      <c r="B253" s="72"/>
      <c r="C253" s="72"/>
      <c r="D253" s="54" t="s">
        <v>48</v>
      </c>
      <c r="E253" s="14" t="s">
        <v>17</v>
      </c>
      <c r="F253" s="25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69"/>
      <c r="B254" s="72"/>
      <c r="C254" s="72"/>
      <c r="D254" s="54" t="s">
        <v>49</v>
      </c>
      <c r="E254" s="14" t="s">
        <v>17</v>
      </c>
      <c r="F254" s="25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69"/>
      <c r="B255" s="72"/>
      <c r="C255" s="72"/>
      <c r="D255" s="54" t="s">
        <v>67</v>
      </c>
      <c r="E255" s="14" t="s">
        <v>17</v>
      </c>
      <c r="F255" s="25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69"/>
      <c r="B256" s="72"/>
      <c r="C256" s="72"/>
      <c r="D256" s="54" t="s">
        <v>51</v>
      </c>
      <c r="E256" s="14" t="s">
        <v>17</v>
      </c>
      <c r="F256" s="25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69"/>
      <c r="B257" s="72"/>
      <c r="C257" s="72"/>
      <c r="D257" s="54" t="s">
        <v>52</v>
      </c>
      <c r="E257" s="14" t="s">
        <v>53</v>
      </c>
      <c r="F257" s="25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69"/>
      <c r="B258" s="72"/>
      <c r="C258" s="72"/>
      <c r="D258" s="54" t="s">
        <v>54</v>
      </c>
      <c r="E258" s="44" t="s">
        <v>17</v>
      </c>
      <c r="F258" s="25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0"/>
      <c r="B259" s="73"/>
      <c r="C259" s="73"/>
      <c r="D259" s="54" t="s">
        <v>36</v>
      </c>
      <c r="E259" s="44" t="s">
        <v>17</v>
      </c>
      <c r="F259" s="25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68" t="s">
        <v>72</v>
      </c>
      <c r="B260" s="71" t="s">
        <v>73</v>
      </c>
      <c r="C260" s="71" t="s">
        <v>11</v>
      </c>
      <c r="D260" s="77" t="s">
        <v>12</v>
      </c>
      <c r="E260" s="78"/>
      <c r="F260" s="79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69"/>
      <c r="B261" s="72"/>
      <c r="C261" s="72"/>
      <c r="D261" s="80" t="s">
        <v>13</v>
      </c>
      <c r="E261" s="80"/>
      <c r="F261" s="80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69"/>
      <c r="B262" s="72"/>
      <c r="C262" s="72"/>
      <c r="D262" s="43" t="s">
        <v>71</v>
      </c>
      <c r="E262" s="44" t="s">
        <v>15</v>
      </c>
      <c r="F262" s="45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69"/>
      <c r="B263" s="72"/>
      <c r="C263" s="72"/>
      <c r="D263" s="46" t="s">
        <v>16</v>
      </c>
      <c r="E263" s="47" t="s">
        <v>17</v>
      </c>
      <c r="F263" s="45" t="s">
        <v>23</v>
      </c>
      <c r="G263" s="8"/>
      <c r="H263" s="8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69"/>
      <c r="B264" s="72"/>
      <c r="C264" s="72"/>
      <c r="D264" s="48" t="s">
        <v>18</v>
      </c>
      <c r="E264" s="47" t="s">
        <v>17</v>
      </c>
      <c r="F264" s="25" t="s">
        <v>23</v>
      </c>
      <c r="G264" s="8"/>
      <c r="H264" s="8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69"/>
      <c r="B265" s="72"/>
      <c r="C265" s="72"/>
      <c r="D265" s="77" t="s">
        <v>19</v>
      </c>
      <c r="E265" s="78"/>
      <c r="F265" s="79"/>
      <c r="G265" s="8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69"/>
      <c r="B266" s="72"/>
      <c r="C266" s="72"/>
      <c r="D266" s="77" t="s">
        <v>20</v>
      </c>
      <c r="E266" s="78"/>
      <c r="F266" s="79"/>
      <c r="G266"/>
      <c r="H266" s="8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69"/>
      <c r="B267" s="72"/>
      <c r="C267" s="72"/>
      <c r="D267" s="15" t="s">
        <v>21</v>
      </c>
      <c r="E267" s="27" t="s">
        <v>22</v>
      </c>
      <c r="F267" s="12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69"/>
      <c r="B268" s="72"/>
      <c r="C268" s="72"/>
      <c r="D268" s="15" t="s">
        <v>24</v>
      </c>
      <c r="E268" s="27" t="s">
        <v>25</v>
      </c>
      <c r="F268" s="12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69"/>
      <c r="B269" s="72"/>
      <c r="C269" s="72"/>
      <c r="D269" s="15" t="s">
        <v>26</v>
      </c>
      <c r="E269" s="27" t="s">
        <v>27</v>
      </c>
      <c r="F269" s="12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69"/>
      <c r="B270" s="72"/>
      <c r="C270" s="72"/>
      <c r="D270" s="77" t="s">
        <v>28</v>
      </c>
      <c r="E270" s="78"/>
      <c r="F270" s="79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69"/>
      <c r="B271" s="72"/>
      <c r="C271" s="72"/>
      <c r="D271" s="11" t="s">
        <v>29</v>
      </c>
      <c r="E271" s="10" t="s">
        <v>30</v>
      </c>
      <c r="F271" s="3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69"/>
      <c r="B272" s="72"/>
      <c r="C272" s="72"/>
      <c r="D272" s="11" t="s">
        <v>31</v>
      </c>
      <c r="E272" s="10" t="s">
        <v>30</v>
      </c>
      <c r="F272" s="3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69"/>
      <c r="B273" s="72"/>
      <c r="C273" s="72"/>
      <c r="D273" s="11" t="s">
        <v>32</v>
      </c>
      <c r="E273" s="10" t="s">
        <v>33</v>
      </c>
      <c r="F273" s="31" t="s">
        <v>23</v>
      </c>
      <c r="G273"/>
      <c r="H273" s="8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69"/>
      <c r="B274" s="72"/>
      <c r="C274" s="72"/>
      <c r="D274" s="11" t="s">
        <v>34</v>
      </c>
      <c r="E274" s="10" t="s">
        <v>30</v>
      </c>
      <c r="F274" s="31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69"/>
      <c r="B275" s="72"/>
      <c r="C275" s="72"/>
      <c r="D275" s="51" t="s">
        <v>35</v>
      </c>
      <c r="E275" s="10" t="s">
        <v>30</v>
      </c>
      <c r="F275" s="31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69"/>
      <c r="B276" s="72"/>
      <c r="C276" s="72"/>
      <c r="D276" s="11" t="s">
        <v>36</v>
      </c>
      <c r="E276" s="10" t="s">
        <v>30</v>
      </c>
      <c r="F276" s="3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69"/>
      <c r="B277" s="72"/>
      <c r="C277" s="72"/>
      <c r="D277" s="11" t="s">
        <v>37</v>
      </c>
      <c r="E277" s="10" t="s">
        <v>30</v>
      </c>
      <c r="F277" s="3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69"/>
      <c r="B278" s="72"/>
      <c r="C278" s="72"/>
      <c r="D278" s="51" t="s">
        <v>59</v>
      </c>
      <c r="E278" s="10" t="s">
        <v>30</v>
      </c>
      <c r="F278" s="3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69"/>
      <c r="B279" s="72"/>
      <c r="C279" s="72"/>
      <c r="D279" s="77" t="s">
        <v>39</v>
      </c>
      <c r="E279" s="78"/>
      <c r="F279" s="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69"/>
      <c r="B280" s="72"/>
      <c r="C280" s="72"/>
      <c r="D280" s="11" t="s">
        <v>40</v>
      </c>
      <c r="E280" s="56" t="s">
        <v>41</v>
      </c>
      <c r="F280" s="12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69"/>
      <c r="B281" s="72"/>
      <c r="C281" s="72"/>
      <c r="D281" s="77" t="s">
        <v>42</v>
      </c>
      <c r="E281" s="78"/>
      <c r="F281" s="79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69"/>
      <c r="B282" s="72"/>
      <c r="C282" s="72"/>
      <c r="D282" s="11" t="s">
        <v>43</v>
      </c>
      <c r="E282" s="11" t="s">
        <v>44</v>
      </c>
      <c r="F282" s="12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69"/>
      <c r="B283" s="72"/>
      <c r="C283" s="72"/>
      <c r="D283" s="80" t="s">
        <v>45</v>
      </c>
      <c r="E283" s="80"/>
      <c r="F283" s="80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69"/>
      <c r="B284" s="72"/>
      <c r="C284" s="72"/>
      <c r="D284" s="53" t="s">
        <v>46</v>
      </c>
      <c r="E284" s="10" t="s">
        <v>15</v>
      </c>
      <c r="F284" s="12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69"/>
      <c r="B285" s="72"/>
      <c r="C285" s="72"/>
      <c r="D285" s="57" t="s">
        <v>74</v>
      </c>
      <c r="E285" s="10" t="s">
        <v>75</v>
      </c>
      <c r="F285" s="12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69"/>
      <c r="B286" s="72"/>
      <c r="C286" s="72"/>
      <c r="D286" s="46" t="s">
        <v>16</v>
      </c>
      <c r="E286" s="47" t="s">
        <v>17</v>
      </c>
      <c r="F286" s="12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69"/>
      <c r="B287" s="72"/>
      <c r="C287" s="72"/>
      <c r="D287" s="48" t="s">
        <v>18</v>
      </c>
      <c r="E287" s="47" t="s">
        <v>17</v>
      </c>
      <c r="F287" s="12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69"/>
      <c r="B288" s="72"/>
      <c r="C288" s="72"/>
      <c r="D288" s="77" t="s">
        <v>47</v>
      </c>
      <c r="E288" s="78"/>
      <c r="F288" s="79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69"/>
      <c r="B289" s="72"/>
      <c r="C289" s="72"/>
      <c r="D289" s="54" t="s">
        <v>48</v>
      </c>
      <c r="E289" s="14" t="s">
        <v>17</v>
      </c>
      <c r="F289" s="25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69"/>
      <c r="B290" s="72"/>
      <c r="C290" s="72"/>
      <c r="D290" s="54" t="s">
        <v>49</v>
      </c>
      <c r="E290" s="14" t="s">
        <v>17</v>
      </c>
      <c r="F290" s="25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69"/>
      <c r="B291" s="72"/>
      <c r="C291" s="72"/>
      <c r="D291" s="54" t="s">
        <v>76</v>
      </c>
      <c r="E291" s="14" t="s">
        <v>17</v>
      </c>
      <c r="F291" s="25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69"/>
      <c r="B292" s="72"/>
      <c r="C292" s="72"/>
      <c r="D292" s="54" t="s">
        <v>51</v>
      </c>
      <c r="E292" s="14" t="s">
        <v>17</v>
      </c>
      <c r="F292" s="25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69"/>
      <c r="B293" s="72"/>
      <c r="C293" s="72"/>
      <c r="D293" s="54" t="s">
        <v>52</v>
      </c>
      <c r="E293" s="14" t="s">
        <v>53</v>
      </c>
      <c r="F293" s="25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69"/>
      <c r="B294" s="72"/>
      <c r="C294" s="72"/>
      <c r="D294" s="54" t="s">
        <v>77</v>
      </c>
      <c r="E294" s="14" t="s">
        <v>17</v>
      </c>
      <c r="F294" s="25">
        <f>140000/56</f>
        <v>2500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69"/>
      <c r="B295" s="72"/>
      <c r="C295" s="72"/>
      <c r="D295" s="54" t="s">
        <v>54</v>
      </c>
      <c r="E295" s="44" t="s">
        <v>17</v>
      </c>
      <c r="F295" s="25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0"/>
      <c r="B296" s="73"/>
      <c r="C296" s="73"/>
      <c r="D296" s="54" t="s">
        <v>36</v>
      </c>
      <c r="E296" s="44" t="s">
        <v>17</v>
      </c>
      <c r="F296" s="25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8"/>
    </row>
  </sheetData>
  <mergeCells count="100"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137:F137"/>
    <mergeCell ref="D139:F139"/>
    <mergeCell ref="D141:F141"/>
    <mergeCell ref="D145:F145"/>
    <mergeCell ref="D159:F159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A45:A80"/>
    <mergeCell ref="B45:B80"/>
    <mergeCell ref="C45:C80"/>
    <mergeCell ref="D45:F45"/>
    <mergeCell ref="D46:F46"/>
    <mergeCell ref="D50:F50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Подсосенская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2020-03-19T04:30:04Z</cp:lastPrinted>
  <dcterms:created xsi:type="dcterms:W3CDTF">2020-03-18T18:37:59Z</dcterms:created>
  <dcterms:modified xsi:type="dcterms:W3CDTF">2023-03-15T02:52:20Z</dcterms:modified>
</cp:coreProperties>
</file>